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E:\TL\TABULA\EnergyProfile\xlsx-Calc-Modules\UValEst-CalcPad\"/>
    </mc:Choice>
  </mc:AlternateContent>
  <xr:revisionPtr revIDLastSave="0" documentId="13_ncr:1_{F57EDB10-639D-4D85-94A6-D04CFE9C20D6}" xr6:coauthVersionLast="36" xr6:coauthVersionMax="36" xr10:uidLastSave="{00000000-0000-0000-0000-000000000000}"/>
  <bookViews>
    <workbookView xWindow="16032" yWindow="60" windowWidth="19236" windowHeight="8016" xr2:uid="{00000000-000D-0000-FFFF-FFFF00000000}"/>
  </bookViews>
  <sheets>
    <sheet name="Info" sheetId="16" r:id="rId1"/>
    <sheet name="Calc.U.Uncertainty" sheetId="7" r:id="rId2"/>
    <sheet name="Calc.Charts" sheetId="23" r:id="rId3"/>
    <sheet name="Calc.Demo.U.Uncertainty" sheetId="25" r:id="rId4"/>
    <sheet name="Codes" sheetId="24" r:id="rId5"/>
    <sheet name="Tab.Year.Period" sheetId="15" r:id="rId6"/>
    <sheet name="Tab.U.Default" sheetId="17" r:id="rId7"/>
    <sheet name="Tab.Insulation.Default" sheetId="18" r:id="rId8"/>
    <sheet name="Tab.Measure.f.Default" sheetId="19" r:id="rId9"/>
    <sheet name="Tab.Uncertainty.Levels" sheetId="20" r:id="rId10"/>
    <sheet name="Tab.Const.ConstrBorder" sheetId="21" r:id="rId11"/>
    <sheet name="Notes.Tasks" sheetId="22" r:id="rId12"/>
  </sheets>
  <externalReferences>
    <externalReference r:id="rId13"/>
    <externalReference r:id="rId14"/>
  </externalReferences>
  <definedNames>
    <definedName name="CopyRange_Chart_01">'Calc.Charts'!$D$34:$J$51</definedName>
    <definedName name="Date_WorkbookVersion">Info!$G$202</definedName>
    <definedName name="DateTime_Current">Info!$G$201</definedName>
    <definedName name="_xlnm.Print_Area" localSheetId="3">'Calc.Demo.U.Uncertainty'!$B$214:$AG$352</definedName>
    <definedName name="Index_ChartXY_VariantPoints">[1]Control!$J$20</definedName>
    <definedName name="Indicator_ConsiderCalibration">[1]Control!$J$7</definedName>
    <definedName name="Label_01">[2]Settings!$E$10</definedName>
    <definedName name="Label_02">[2]Settings!$E$16</definedName>
    <definedName name="Label_03">[2]Settings!$E$22</definedName>
    <definedName name="Label_04">[2]Settings!$E$28</definedName>
    <definedName name="Label_05">[2]Settings!$E$34</definedName>
    <definedName name="Label_06">[2]Settings!$E$40</definedName>
    <definedName name="Label_07">[2]Settings!$E$46</definedName>
    <definedName name="n_Min_Category_Benchmark">[1]Control!$J$26</definedName>
    <definedName name="n_Row_Header">Info!$G$204:$H$204</definedName>
    <definedName name="n_Row_Source_Reference">Info!$G$205</definedName>
  </definedNames>
  <calcPr calcId="191029"/>
</workbook>
</file>

<file path=xl/calcChain.xml><?xml version="1.0" encoding="utf-8"?>
<calcChain xmlns="http://schemas.openxmlformats.org/spreadsheetml/2006/main">
  <c r="F281" i="25" l="1"/>
  <c r="F351" i="25"/>
  <c r="AY349" i="25"/>
  <c r="AY347" i="25"/>
  <c r="AY346" i="25"/>
  <c r="AY339" i="25"/>
  <c r="AY337" i="25"/>
  <c r="AY336" i="25"/>
  <c r="AY329" i="25"/>
  <c r="AY327" i="25"/>
  <c r="AY326" i="25"/>
  <c r="AY319" i="25"/>
  <c r="AY317" i="25"/>
  <c r="AY316" i="25"/>
  <c r="AY309" i="25"/>
  <c r="AY307" i="25"/>
  <c r="AY306" i="25"/>
  <c r="AY299" i="25"/>
  <c r="AY297" i="25"/>
  <c r="AY296" i="25"/>
  <c r="AY279" i="25"/>
  <c r="AY277" i="25"/>
  <c r="AY276" i="25"/>
  <c r="AY269" i="25"/>
  <c r="AY267" i="25"/>
  <c r="AY266" i="25"/>
  <c r="AY259" i="25"/>
  <c r="AY257" i="25"/>
  <c r="AY256" i="25"/>
  <c r="AY249" i="25"/>
  <c r="AY247" i="25"/>
  <c r="AY246" i="25"/>
  <c r="BA229" i="25"/>
  <c r="BA239" i="25" s="1"/>
  <c r="BA249" i="25" s="1"/>
  <c r="BA259" i="25" s="1"/>
  <c r="AN80" i="25"/>
  <c r="AN81" i="25" s="1"/>
  <c r="AN82" i="25" s="1"/>
  <c r="AN83" i="25" s="1"/>
  <c r="AN84" i="25" s="1"/>
  <c r="AN85" i="25" s="1"/>
  <c r="AN86" i="25" s="1"/>
  <c r="AN87" i="25" s="1"/>
  <c r="AN88" i="25" s="1"/>
  <c r="AN89" i="25" s="1"/>
  <c r="AN90" i="25" s="1"/>
  <c r="AN91" i="25" s="1"/>
  <c r="AY239" i="25"/>
  <c r="AY237" i="25"/>
  <c r="AY236" i="25"/>
  <c r="BA223" i="25"/>
  <c r="BA233" i="25" s="1"/>
  <c r="BA243" i="25" s="1"/>
  <c r="BA253" i="25" s="1"/>
  <c r="BA263" i="25" s="1"/>
  <c r="BA273" i="25" s="1"/>
  <c r="BA293" i="25" s="1"/>
  <c r="BA303" i="25" s="1"/>
  <c r="BA313" i="25" s="1"/>
  <c r="BA323" i="25" s="1"/>
  <c r="BA333" i="25" s="1"/>
  <c r="BA343" i="25" s="1"/>
  <c r="AZ223" i="25"/>
  <c r="AZ233" i="25" s="1"/>
  <c r="AZ243" i="25" s="1"/>
  <c r="AZ253" i="25" s="1"/>
  <c r="AZ263" i="25" s="1"/>
  <c r="AZ273" i="25" s="1"/>
  <c r="AZ293" i="25" s="1"/>
  <c r="AZ303" i="25" s="1"/>
  <c r="AZ313" i="25" s="1"/>
  <c r="AZ323" i="25" s="1"/>
  <c r="AZ333" i="25" s="1"/>
  <c r="AZ343" i="25" s="1"/>
  <c r="AY223" i="25"/>
  <c r="AY224" i="25" s="1"/>
  <c r="AY225" i="25" s="1"/>
  <c r="M19" i="25"/>
  <c r="M31" i="25" s="1"/>
  <c r="M18" i="25"/>
  <c r="M30" i="25" s="1"/>
  <c r="M17" i="25"/>
  <c r="U17" i="25" s="1"/>
  <c r="M16" i="25"/>
  <c r="M28" i="25" s="1"/>
  <c r="U28" i="25" s="1"/>
  <c r="M15" i="25"/>
  <c r="M27" i="25" s="1"/>
  <c r="U27" i="25" s="1"/>
  <c r="M14" i="25"/>
  <c r="M26" i="25" s="1"/>
  <c r="M13" i="25"/>
  <c r="M25" i="25" s="1"/>
  <c r="M12" i="25"/>
  <c r="U12" i="25" s="1"/>
  <c r="M11" i="25"/>
  <c r="U11" i="25" s="1"/>
  <c r="M10" i="25"/>
  <c r="U10" i="25" s="1"/>
  <c r="M9" i="25"/>
  <c r="U9" i="25" s="1"/>
  <c r="M8" i="25"/>
  <c r="U8" i="25" s="1"/>
  <c r="AN20" i="25"/>
  <c r="AN21" i="25" s="1"/>
  <c r="AN22" i="25" s="1"/>
  <c r="AN23" i="25" s="1"/>
  <c r="AN24" i="25" s="1"/>
  <c r="AN25" i="25" s="1"/>
  <c r="AN26" i="25" s="1"/>
  <c r="AN27" i="25" s="1"/>
  <c r="AN28" i="25" s="1"/>
  <c r="AN29" i="25" s="1"/>
  <c r="AN30" i="25" s="1"/>
  <c r="AN31" i="25" s="1"/>
  <c r="AN8" i="25"/>
  <c r="AN9" i="25" s="1"/>
  <c r="AN10" i="25" s="1"/>
  <c r="AN11" i="25" s="1"/>
  <c r="AN12" i="25" s="1"/>
  <c r="AN13" i="25" s="1"/>
  <c r="AN14" i="25" s="1"/>
  <c r="AN15" i="25" s="1"/>
  <c r="AN16" i="25" s="1"/>
  <c r="AN17" i="25" s="1"/>
  <c r="AN18" i="25" s="1"/>
  <c r="AN19" i="25" s="1"/>
  <c r="AY229" i="25"/>
  <c r="BB229" i="25"/>
  <c r="BB239" i="25" s="1"/>
  <c r="BB249" i="25" s="1"/>
  <c r="BB227" i="25"/>
  <c r="BB237" i="25" s="1"/>
  <c r="BB247" i="25" s="1"/>
  <c r="BB257" i="25" s="1"/>
  <c r="BB267" i="25" s="1"/>
  <c r="BB277" i="25" s="1"/>
  <c r="BB297" i="25" s="1"/>
  <c r="BB307" i="25" s="1"/>
  <c r="BB317" i="25" s="1"/>
  <c r="BB327" i="25" s="1"/>
  <c r="BB337" i="25" s="1"/>
  <c r="BB347" i="25" s="1"/>
  <c r="BB226" i="25"/>
  <c r="BB236" i="25" s="1"/>
  <c r="BB246" i="25" s="1"/>
  <c r="BB256" i="25" s="1"/>
  <c r="BB266" i="25" s="1"/>
  <c r="BB276" i="25" s="1"/>
  <c r="BB296" i="25" s="1"/>
  <c r="BB306" i="25" s="1"/>
  <c r="BB316" i="25" s="1"/>
  <c r="BB326" i="25" s="1"/>
  <c r="BB336" i="25" s="1"/>
  <c r="BB346" i="25" s="1"/>
  <c r="BB225" i="25"/>
  <c r="BB235" i="25" s="1"/>
  <c r="BB245" i="25" s="1"/>
  <c r="BB255" i="25" s="1"/>
  <c r="BB265" i="25" s="1"/>
  <c r="BB275" i="25" s="1"/>
  <c r="BB295" i="25" s="1"/>
  <c r="BB305" i="25" s="1"/>
  <c r="BB315" i="25" s="1"/>
  <c r="BB325" i="25" s="1"/>
  <c r="BB335" i="25" s="1"/>
  <c r="BB345" i="25" s="1"/>
  <c r="BB224" i="25"/>
  <c r="BB234" i="25" s="1"/>
  <c r="BB244" i="25" s="1"/>
  <c r="BB254" i="25" s="1"/>
  <c r="BB264" i="25" s="1"/>
  <c r="BB274" i="25" s="1"/>
  <c r="BB294" i="25" s="1"/>
  <c r="BB304" i="25" s="1"/>
  <c r="BB314" i="25" s="1"/>
  <c r="BB324" i="25" s="1"/>
  <c r="BB334" i="25" s="1"/>
  <c r="BB344" i="25" s="1"/>
  <c r="AN188" i="25"/>
  <c r="AN189" i="25" s="1"/>
  <c r="AN190" i="25" s="1"/>
  <c r="AN191" i="25" s="1"/>
  <c r="AN192" i="25" s="1"/>
  <c r="AN193" i="25" s="1"/>
  <c r="AN194" i="25" s="1"/>
  <c r="AN195" i="25" s="1"/>
  <c r="AN196" i="25" s="1"/>
  <c r="AN197" i="25" s="1"/>
  <c r="AN198" i="25" s="1"/>
  <c r="AN199" i="25" s="1"/>
  <c r="AN176" i="25"/>
  <c r="AN177" i="25" s="1"/>
  <c r="AN178" i="25" s="1"/>
  <c r="AN179" i="25" s="1"/>
  <c r="AN180" i="25" s="1"/>
  <c r="AN181" i="25" s="1"/>
  <c r="AN182" i="25" s="1"/>
  <c r="AN183" i="25" s="1"/>
  <c r="AN184" i="25" s="1"/>
  <c r="AN185" i="25" s="1"/>
  <c r="AN186" i="25" s="1"/>
  <c r="AN187" i="25" s="1"/>
  <c r="AN164" i="25"/>
  <c r="AN165" i="25" s="1"/>
  <c r="AN166" i="25" s="1"/>
  <c r="AN167" i="25" s="1"/>
  <c r="AN168" i="25" s="1"/>
  <c r="AN169" i="25" s="1"/>
  <c r="AN170" i="25" s="1"/>
  <c r="AN171" i="25" s="1"/>
  <c r="AN172" i="25" s="1"/>
  <c r="AN173" i="25" s="1"/>
  <c r="AN174" i="25" s="1"/>
  <c r="AN175" i="25" s="1"/>
  <c r="AN152" i="25"/>
  <c r="AN153" i="25" s="1"/>
  <c r="AN154" i="25" s="1"/>
  <c r="AN155" i="25" s="1"/>
  <c r="AN156" i="25" s="1"/>
  <c r="AN157" i="25" s="1"/>
  <c r="AN158" i="25" s="1"/>
  <c r="AN159" i="25" s="1"/>
  <c r="AN160" i="25" s="1"/>
  <c r="AN161" i="25" s="1"/>
  <c r="AN162" i="25" s="1"/>
  <c r="AN163" i="25" s="1"/>
  <c r="AN140" i="25"/>
  <c r="AN141" i="25" s="1"/>
  <c r="AN142" i="25" s="1"/>
  <c r="AN143" i="25" s="1"/>
  <c r="AN144" i="25" s="1"/>
  <c r="AN145" i="25" s="1"/>
  <c r="AN146" i="25" s="1"/>
  <c r="AN147" i="25" s="1"/>
  <c r="AN148" i="25" s="1"/>
  <c r="AN149" i="25" s="1"/>
  <c r="AN150" i="25" s="1"/>
  <c r="AN151" i="25" s="1"/>
  <c r="BA227" i="25"/>
  <c r="BA237" i="25" s="1"/>
  <c r="BA247" i="25" s="1"/>
  <c r="BA257" i="25" s="1"/>
  <c r="BA267" i="25" s="1"/>
  <c r="BA277" i="25" s="1"/>
  <c r="BA297" i="25" s="1"/>
  <c r="BA307" i="25" s="1"/>
  <c r="BA317" i="25" s="1"/>
  <c r="BA327" i="25" s="1"/>
  <c r="BA337" i="25" s="1"/>
  <c r="BA347" i="25" s="1"/>
  <c r="BA226" i="25"/>
  <c r="BA236" i="25" s="1"/>
  <c r="BA246" i="25" s="1"/>
  <c r="BA256" i="25" s="1"/>
  <c r="BA266" i="25" s="1"/>
  <c r="BA276" i="25" s="1"/>
  <c r="BA296" i="25" s="1"/>
  <c r="BA306" i="25" s="1"/>
  <c r="BA316" i="25" s="1"/>
  <c r="BA326" i="25" s="1"/>
  <c r="BA336" i="25" s="1"/>
  <c r="BA346" i="25" s="1"/>
  <c r="BA225" i="25"/>
  <c r="BA235" i="25" s="1"/>
  <c r="BA245" i="25" s="1"/>
  <c r="BA255" i="25" s="1"/>
  <c r="BA265" i="25" s="1"/>
  <c r="BA275" i="25" s="1"/>
  <c r="BA295" i="25" s="1"/>
  <c r="BA305" i="25" s="1"/>
  <c r="BA315" i="25" s="1"/>
  <c r="BA325" i="25" s="1"/>
  <c r="BA335" i="25" s="1"/>
  <c r="BA345" i="25" s="1"/>
  <c r="BI276" i="7"/>
  <c r="BI275" i="7"/>
  <c r="BI274" i="7"/>
  <c r="BI273" i="7"/>
  <c r="BI272" i="7"/>
  <c r="BI271" i="7"/>
  <c r="BI270" i="7"/>
  <c r="BI269" i="7"/>
  <c r="BI268" i="7"/>
  <c r="BI267" i="7"/>
  <c r="BI266" i="7"/>
  <c r="BI265" i="7"/>
  <c r="BI264" i="7"/>
  <c r="BI263" i="7"/>
  <c r="BI262" i="7"/>
  <c r="BI261" i="7"/>
  <c r="BI260" i="7"/>
  <c r="BI259" i="7"/>
  <c r="BI258" i="7"/>
  <c r="BI257" i="7"/>
  <c r="BI256" i="7"/>
  <c r="BI255" i="7"/>
  <c r="BI254" i="7"/>
  <c r="BI253" i="7"/>
  <c r="BI252" i="7"/>
  <c r="BI251" i="7"/>
  <c r="BI250" i="7"/>
  <c r="BI249" i="7"/>
  <c r="BI248" i="7"/>
  <c r="BI247" i="7"/>
  <c r="BI246" i="7"/>
  <c r="BI245" i="7"/>
  <c r="BI244" i="7"/>
  <c r="BI243" i="7"/>
  <c r="BI242" i="7"/>
  <c r="BI241" i="7"/>
  <c r="BI240" i="7"/>
  <c r="BI239" i="7"/>
  <c r="BI238" i="7"/>
  <c r="BI237" i="7"/>
  <c r="BI236" i="7"/>
  <c r="BI235" i="7"/>
  <c r="BI234" i="7"/>
  <c r="BI233" i="7"/>
  <c r="BI232" i="7"/>
  <c r="BI231" i="7"/>
  <c r="BI230" i="7"/>
  <c r="BI229" i="7"/>
  <c r="BI228" i="7"/>
  <c r="BI227" i="7"/>
  <c r="BI226" i="7"/>
  <c r="BI225" i="7"/>
  <c r="BI224" i="7"/>
  <c r="BI223" i="7"/>
  <c r="BI222" i="7"/>
  <c r="BI221" i="7"/>
  <c r="BI220" i="7"/>
  <c r="BI219" i="7"/>
  <c r="BI218" i="7"/>
  <c r="BI217" i="7"/>
  <c r="BI216" i="7"/>
  <c r="BI215" i="7"/>
  <c r="BI214" i="7"/>
  <c r="BI213" i="7"/>
  <c r="BI212" i="7"/>
  <c r="BI211" i="7"/>
  <c r="BI210" i="7"/>
  <c r="BI209" i="7"/>
  <c r="BI208" i="7"/>
  <c r="BI207" i="7"/>
  <c r="BI206" i="7"/>
  <c r="BI205" i="7"/>
  <c r="BI204" i="7"/>
  <c r="BI203" i="7"/>
  <c r="BI202" i="7"/>
  <c r="BI201" i="7"/>
  <c r="BI200" i="7"/>
  <c r="BI199" i="7"/>
  <c r="BI198" i="7"/>
  <c r="BI197" i="7"/>
  <c r="BI196" i="7"/>
  <c r="BI195" i="7"/>
  <c r="BI194" i="7"/>
  <c r="BI193" i="7"/>
  <c r="BI192" i="7"/>
  <c r="BI191" i="7"/>
  <c r="BI190" i="7"/>
  <c r="BI189" i="7"/>
  <c r="BI188" i="7"/>
  <c r="BI187" i="7"/>
  <c r="BI186" i="7"/>
  <c r="BI185" i="7"/>
  <c r="BI184" i="7"/>
  <c r="BI183" i="7"/>
  <c r="BI182" i="7"/>
  <c r="BI181" i="7"/>
  <c r="BI180" i="7"/>
  <c r="BI179" i="7"/>
  <c r="BI178" i="7"/>
  <c r="BI177" i="7"/>
  <c r="BI176" i="7"/>
  <c r="BI175" i="7"/>
  <c r="BI174" i="7"/>
  <c r="BI173" i="7"/>
  <c r="BI172" i="7"/>
  <c r="BI171" i="7"/>
  <c r="BI170" i="7"/>
  <c r="BI169" i="7"/>
  <c r="BI168" i="7"/>
  <c r="BI167" i="7"/>
  <c r="BI166" i="7"/>
  <c r="BI165" i="7"/>
  <c r="BI164" i="7"/>
  <c r="BI163" i="7"/>
  <c r="BI162" i="7"/>
  <c r="BI161" i="7"/>
  <c r="BI160" i="7"/>
  <c r="BI159" i="7"/>
  <c r="BI158" i="7"/>
  <c r="BI157" i="7"/>
  <c r="BI156" i="7"/>
  <c r="BI155" i="7"/>
  <c r="BI154" i="7"/>
  <c r="BI153" i="7"/>
  <c r="BI152" i="7"/>
  <c r="BI151" i="7"/>
  <c r="BI150" i="7"/>
  <c r="BI149" i="7"/>
  <c r="BI148" i="7"/>
  <c r="BI147" i="7"/>
  <c r="BI146" i="7"/>
  <c r="BI145" i="7"/>
  <c r="BI144" i="7"/>
  <c r="BI143" i="7"/>
  <c r="BI142" i="7"/>
  <c r="BI141" i="7"/>
  <c r="BI140" i="7"/>
  <c r="BI139" i="7"/>
  <c r="BI138" i="7"/>
  <c r="BI137" i="7"/>
  <c r="BI136" i="7"/>
  <c r="BI135" i="7"/>
  <c r="BI134" i="7"/>
  <c r="BI133" i="7"/>
  <c r="BI132" i="7"/>
  <c r="BI131" i="7"/>
  <c r="BI130" i="7"/>
  <c r="BI129" i="7"/>
  <c r="BI128" i="7"/>
  <c r="BI127" i="7"/>
  <c r="BI126" i="7"/>
  <c r="BI125" i="7"/>
  <c r="BI124" i="7"/>
  <c r="BI123" i="7"/>
  <c r="BI122" i="7"/>
  <c r="BI121" i="7"/>
  <c r="BI120" i="7"/>
  <c r="BI119" i="7"/>
  <c r="BI118" i="7"/>
  <c r="BI117" i="7"/>
  <c r="BI116" i="7"/>
  <c r="BI115" i="7"/>
  <c r="BI114" i="7"/>
  <c r="BI113" i="7"/>
  <c r="BI112" i="7"/>
  <c r="BI111" i="7"/>
  <c r="BI110" i="7"/>
  <c r="BI109" i="7"/>
  <c r="BI108" i="7"/>
  <c r="BI107" i="7"/>
  <c r="BI106" i="7"/>
  <c r="BI105" i="7"/>
  <c r="BI104" i="7"/>
  <c r="BI103" i="7"/>
  <c r="BI102" i="7"/>
  <c r="BI101" i="7"/>
  <c r="AN128" i="25"/>
  <c r="AN129" i="25" s="1"/>
  <c r="AN130" i="25" s="1"/>
  <c r="AN131" i="25" s="1"/>
  <c r="AN132" i="25" s="1"/>
  <c r="AN133" i="25" s="1"/>
  <c r="AN134" i="25" s="1"/>
  <c r="AN135" i="25" s="1"/>
  <c r="AN136" i="25" s="1"/>
  <c r="AN137" i="25" s="1"/>
  <c r="AN138" i="25" s="1"/>
  <c r="AN139" i="25" s="1"/>
  <c r="AN116" i="25"/>
  <c r="AN117" i="25" s="1"/>
  <c r="AN118" i="25" s="1"/>
  <c r="AN119" i="25" s="1"/>
  <c r="AN120" i="25" s="1"/>
  <c r="AN121" i="25" s="1"/>
  <c r="AN122" i="25" s="1"/>
  <c r="AN123" i="25" s="1"/>
  <c r="AN124" i="25" s="1"/>
  <c r="AN125" i="25" s="1"/>
  <c r="AN126" i="25" s="1"/>
  <c r="AN127" i="25" s="1"/>
  <c r="AN104" i="25"/>
  <c r="AN105" i="25" s="1"/>
  <c r="AN106" i="25" s="1"/>
  <c r="AN107" i="25" s="1"/>
  <c r="AN108" i="25" s="1"/>
  <c r="AN109" i="25" s="1"/>
  <c r="AN110" i="25" s="1"/>
  <c r="AN111" i="25" s="1"/>
  <c r="AN112" i="25" s="1"/>
  <c r="AN113" i="25" s="1"/>
  <c r="AN114" i="25" s="1"/>
  <c r="AN115" i="25" s="1"/>
  <c r="AZ227" i="25"/>
  <c r="AZ237" i="25" s="1"/>
  <c r="AZ247" i="25" s="1"/>
  <c r="AZ257" i="25" s="1"/>
  <c r="AZ267" i="25" s="1"/>
  <c r="AZ277" i="25" s="1"/>
  <c r="AZ297" i="25" s="1"/>
  <c r="AZ307" i="25" s="1"/>
  <c r="AZ317" i="25" s="1"/>
  <c r="AZ327" i="25" s="1"/>
  <c r="AZ337" i="25" s="1"/>
  <c r="AZ347" i="25" s="1"/>
  <c r="AZ226" i="25"/>
  <c r="AZ236" i="25" s="1"/>
  <c r="AZ246" i="25" s="1"/>
  <c r="AZ256" i="25" s="1"/>
  <c r="AZ266" i="25" s="1"/>
  <c r="AZ276" i="25" s="1"/>
  <c r="AZ296" i="25" s="1"/>
  <c r="AZ306" i="25" s="1"/>
  <c r="AZ316" i="25" s="1"/>
  <c r="AZ326" i="25" s="1"/>
  <c r="AZ336" i="25" s="1"/>
  <c r="AZ346" i="25" s="1"/>
  <c r="AZ225" i="25"/>
  <c r="AZ235" i="25" s="1"/>
  <c r="AZ245" i="25" s="1"/>
  <c r="AZ255" i="25" s="1"/>
  <c r="AZ265" i="25" s="1"/>
  <c r="AZ275" i="25" s="1"/>
  <c r="AZ295" i="25" s="1"/>
  <c r="AZ305" i="25" s="1"/>
  <c r="AZ315" i="25" s="1"/>
  <c r="AZ325" i="25" s="1"/>
  <c r="AZ335" i="25" s="1"/>
  <c r="AZ345" i="25" s="1"/>
  <c r="BA224" i="25"/>
  <c r="BA234" i="25" s="1"/>
  <c r="BA244" i="25" s="1"/>
  <c r="BA254" i="25" s="1"/>
  <c r="BA264" i="25" s="1"/>
  <c r="BA274" i="25" s="1"/>
  <c r="BA294" i="25" s="1"/>
  <c r="BA304" i="25" s="1"/>
  <c r="BA314" i="25" s="1"/>
  <c r="BA324" i="25" s="1"/>
  <c r="BA334" i="25" s="1"/>
  <c r="BA344" i="25" s="1"/>
  <c r="AY227" i="25"/>
  <c r="AY226" i="25"/>
  <c r="AZ224" i="25"/>
  <c r="AZ234" i="25" s="1"/>
  <c r="AZ244" i="25" s="1"/>
  <c r="AZ254" i="25" s="1"/>
  <c r="AZ264" i="25" s="1"/>
  <c r="AZ274" i="25" s="1"/>
  <c r="AZ294" i="25" s="1"/>
  <c r="AZ304" i="25" s="1"/>
  <c r="AZ314" i="25" s="1"/>
  <c r="AZ324" i="25" s="1"/>
  <c r="AZ334" i="25" s="1"/>
  <c r="AZ344" i="25" s="1"/>
  <c r="AN92" i="25"/>
  <c r="AN93" i="25" s="1"/>
  <c r="AN94" i="25" s="1"/>
  <c r="AN95" i="25" s="1"/>
  <c r="AN96" i="25" s="1"/>
  <c r="AN97" i="25" s="1"/>
  <c r="AN98" i="25" s="1"/>
  <c r="AN99" i="25" s="1"/>
  <c r="AN100" i="25" s="1"/>
  <c r="AN101" i="25" s="1"/>
  <c r="AN102" i="25" s="1"/>
  <c r="AN103" i="25" s="1"/>
  <c r="AN68" i="25"/>
  <c r="AN69" i="25" s="1"/>
  <c r="AN70" i="25" s="1"/>
  <c r="AN71" i="25" s="1"/>
  <c r="AN72" i="25" s="1"/>
  <c r="AN73" i="25" s="1"/>
  <c r="AN74" i="25" s="1"/>
  <c r="AN75" i="25" s="1"/>
  <c r="AN76" i="25" s="1"/>
  <c r="AN77" i="25" s="1"/>
  <c r="AN78" i="25" s="1"/>
  <c r="AN79" i="25" s="1"/>
  <c r="AN56" i="25"/>
  <c r="AN57" i="25" s="1"/>
  <c r="AN58" i="25" s="1"/>
  <c r="AN59" i="25" s="1"/>
  <c r="AN60" i="25" s="1"/>
  <c r="AN61" i="25" s="1"/>
  <c r="AN62" i="25" s="1"/>
  <c r="AN63" i="25" s="1"/>
  <c r="AN64" i="25" s="1"/>
  <c r="AN65" i="25" s="1"/>
  <c r="AN66" i="25" s="1"/>
  <c r="AN67" i="25" s="1"/>
  <c r="AN44" i="25"/>
  <c r="AN45" i="25" s="1"/>
  <c r="AN46" i="25" s="1"/>
  <c r="AN47" i="25" s="1"/>
  <c r="AN48" i="25" s="1"/>
  <c r="AN49" i="25" s="1"/>
  <c r="AN50" i="25" s="1"/>
  <c r="AN51" i="25" s="1"/>
  <c r="AN52" i="25" s="1"/>
  <c r="AN53" i="25" s="1"/>
  <c r="AN54" i="25" s="1"/>
  <c r="AN55" i="25" s="1"/>
  <c r="AN32" i="25"/>
  <c r="AN33" i="25" s="1"/>
  <c r="AN34" i="25" s="1"/>
  <c r="AN35" i="25" s="1"/>
  <c r="AN36" i="25" s="1"/>
  <c r="AN37" i="25" s="1"/>
  <c r="AN38" i="25" s="1"/>
  <c r="AN39" i="25" s="1"/>
  <c r="AN40" i="25" s="1"/>
  <c r="AN41" i="25" s="1"/>
  <c r="AN42" i="25" s="1"/>
  <c r="AN43" i="25" s="1"/>
  <c r="U18" i="25" l="1"/>
  <c r="AY233" i="25"/>
  <c r="BA269" i="25"/>
  <c r="BB259" i="25"/>
  <c r="U16" i="25"/>
  <c r="M24" i="25"/>
  <c r="M36" i="25" s="1"/>
  <c r="U36" i="25" s="1"/>
  <c r="U48" i="25" s="1"/>
  <c r="U60" i="25" s="1"/>
  <c r="U72" i="25" s="1"/>
  <c r="U96" i="25" s="1"/>
  <c r="U19" i="25"/>
  <c r="U13" i="25"/>
  <c r="M20" i="25"/>
  <c r="M32" i="25" s="1"/>
  <c r="U32" i="25" s="1"/>
  <c r="U44" i="25" s="1"/>
  <c r="U56" i="25" s="1"/>
  <c r="M43" i="25"/>
  <c r="U43" i="25" s="1"/>
  <c r="U55" i="25" s="1"/>
  <c r="U67" i="25" s="1"/>
  <c r="U79" i="25" s="1"/>
  <c r="U103" i="25" s="1"/>
  <c r="U115" i="25" s="1"/>
  <c r="U127" i="25" s="1"/>
  <c r="U31" i="25"/>
  <c r="M21" i="25"/>
  <c r="M33" i="25" s="1"/>
  <c r="U33" i="25" s="1"/>
  <c r="U45" i="25" s="1"/>
  <c r="M23" i="25"/>
  <c r="U23" i="25" s="1"/>
  <c r="M29" i="25"/>
  <c r="M41" i="25" s="1"/>
  <c r="U41" i="25" s="1"/>
  <c r="U53" i="25" s="1"/>
  <c r="U65" i="25" s="1"/>
  <c r="U77" i="25" s="1"/>
  <c r="U101" i="25" s="1"/>
  <c r="U113" i="25" s="1"/>
  <c r="U125" i="25" s="1"/>
  <c r="M37" i="25"/>
  <c r="U37" i="25" s="1"/>
  <c r="U49" i="25" s="1"/>
  <c r="U61" i="25" s="1"/>
  <c r="U73" i="25" s="1"/>
  <c r="U97" i="25" s="1"/>
  <c r="U25" i="25"/>
  <c r="M38" i="25"/>
  <c r="U38" i="25" s="1"/>
  <c r="U50" i="25" s="1"/>
  <c r="U62" i="25" s="1"/>
  <c r="U74" i="25" s="1"/>
  <c r="U98" i="25" s="1"/>
  <c r="U26" i="25"/>
  <c r="M42" i="25"/>
  <c r="U42" i="25" s="1"/>
  <c r="U54" i="25" s="1"/>
  <c r="U66" i="25" s="1"/>
  <c r="U78" i="25" s="1"/>
  <c r="U102" i="25" s="1"/>
  <c r="U114" i="25" s="1"/>
  <c r="U126" i="25" s="1"/>
  <c r="U30" i="25"/>
  <c r="U15" i="25"/>
  <c r="M22" i="25"/>
  <c r="U22" i="25" s="1"/>
  <c r="U14" i="25"/>
  <c r="U21" i="25"/>
  <c r="M39" i="25"/>
  <c r="U39" i="25" s="1"/>
  <c r="U51" i="25" s="1"/>
  <c r="U63" i="25" s="1"/>
  <c r="U75" i="25" s="1"/>
  <c r="U99" i="25" s="1"/>
  <c r="U111" i="25" s="1"/>
  <c r="M40" i="25"/>
  <c r="U40" i="25" s="1"/>
  <c r="U52" i="25" s="1"/>
  <c r="U64" i="25" s="1"/>
  <c r="U76" i="25" s="1"/>
  <c r="U100" i="25" s="1"/>
  <c r="M54" i="25"/>
  <c r="M66" i="25" s="1"/>
  <c r="M78" i="25" s="1"/>
  <c r="U57" i="25"/>
  <c r="U69" i="25" s="1"/>
  <c r="U93" i="25" s="1"/>
  <c r="M48" i="25"/>
  <c r="M60" i="25" s="1"/>
  <c r="M72" i="25" s="1"/>
  <c r="M45" i="25"/>
  <c r="M57" i="25" s="1"/>
  <c r="M69" i="25" s="1"/>
  <c r="M49" i="25"/>
  <c r="M61" i="25" s="1"/>
  <c r="M73" i="25" s="1"/>
  <c r="M55" i="25" l="1"/>
  <c r="M67" i="25" s="1"/>
  <c r="M79" i="25" s="1"/>
  <c r="M91" i="25" s="1"/>
  <c r="M103" i="25" s="1"/>
  <c r="M115" i="25" s="1"/>
  <c r="M127" i="25" s="1"/>
  <c r="M139" i="25" s="1"/>
  <c r="M151" i="25" s="1"/>
  <c r="M163" i="25" s="1"/>
  <c r="M175" i="25" s="1"/>
  <c r="M187" i="25" s="1"/>
  <c r="M199" i="25" s="1"/>
  <c r="M44" i="25"/>
  <c r="M56" i="25" s="1"/>
  <c r="M68" i="25" s="1"/>
  <c r="M80" i="25" s="1"/>
  <c r="M92" i="25" s="1"/>
  <c r="M104" i="25" s="1"/>
  <c r="M116" i="25" s="1"/>
  <c r="M128" i="25" s="1"/>
  <c r="M140" i="25" s="1"/>
  <c r="M152" i="25" s="1"/>
  <c r="M164" i="25" s="1"/>
  <c r="M176" i="25" s="1"/>
  <c r="M188" i="25" s="1"/>
  <c r="U20" i="25"/>
  <c r="M50" i="25"/>
  <c r="M62" i="25" s="1"/>
  <c r="M74" i="25" s="1"/>
  <c r="M86" i="25" s="1"/>
  <c r="M98" i="25" s="1"/>
  <c r="M110" i="25" s="1"/>
  <c r="M122" i="25" s="1"/>
  <c r="M134" i="25" s="1"/>
  <c r="M146" i="25" s="1"/>
  <c r="M158" i="25" s="1"/>
  <c r="M170" i="25" s="1"/>
  <c r="M182" i="25" s="1"/>
  <c r="M194" i="25" s="1"/>
  <c r="M81" i="25"/>
  <c r="M93" i="25" s="1"/>
  <c r="M105" i="25" s="1"/>
  <c r="M117" i="25" s="1"/>
  <c r="M129" i="25" s="1"/>
  <c r="M141" i="25" s="1"/>
  <c r="M153" i="25" s="1"/>
  <c r="M165" i="25" s="1"/>
  <c r="M177" i="25" s="1"/>
  <c r="M189" i="25" s="1"/>
  <c r="M84" i="25"/>
  <c r="M96" i="25" s="1"/>
  <c r="M108" i="25" s="1"/>
  <c r="M120" i="25" s="1"/>
  <c r="M132" i="25" s="1"/>
  <c r="M144" i="25" s="1"/>
  <c r="M156" i="25" s="1"/>
  <c r="M168" i="25" s="1"/>
  <c r="M180" i="25" s="1"/>
  <c r="M192" i="25" s="1"/>
  <c r="M85" i="25"/>
  <c r="M97" i="25" s="1"/>
  <c r="M109" i="25" s="1"/>
  <c r="M121" i="25" s="1"/>
  <c r="M133" i="25" s="1"/>
  <c r="M145" i="25" s="1"/>
  <c r="M157" i="25" s="1"/>
  <c r="M169" i="25" s="1"/>
  <c r="M181" i="25" s="1"/>
  <c r="M193" i="25" s="1"/>
  <c r="M35" i="25"/>
  <c r="U35" i="25" s="1"/>
  <c r="U47" i="25" s="1"/>
  <c r="U59" i="25" s="1"/>
  <c r="U71" i="25" s="1"/>
  <c r="U95" i="25" s="1"/>
  <c r="U107" i="25" s="1"/>
  <c r="M90" i="25"/>
  <c r="M102" i="25" s="1"/>
  <c r="M114" i="25" s="1"/>
  <c r="M126" i="25" s="1"/>
  <c r="M138" i="25" s="1"/>
  <c r="M150" i="25" s="1"/>
  <c r="M162" i="25" s="1"/>
  <c r="M174" i="25" s="1"/>
  <c r="M186" i="25" s="1"/>
  <c r="M198" i="25" s="1"/>
  <c r="AY243" i="25"/>
  <c r="AY234" i="25"/>
  <c r="AY235" i="25" s="1"/>
  <c r="BB269" i="25"/>
  <c r="BA279" i="25"/>
  <c r="M53" i="25"/>
  <c r="M65" i="25" s="1"/>
  <c r="M77" i="25" s="1"/>
  <c r="U24" i="25"/>
  <c r="U29" i="25"/>
  <c r="M52" i="25"/>
  <c r="M64" i="25" s="1"/>
  <c r="M76" i="25" s="1"/>
  <c r="M34" i="25"/>
  <c r="M51" i="25"/>
  <c r="M63" i="25" s="1"/>
  <c r="M75" i="25" s="1"/>
  <c r="U109" i="25"/>
  <c r="U105" i="25"/>
  <c r="U139" i="25"/>
  <c r="U151" i="25" s="1"/>
  <c r="U112" i="25"/>
  <c r="U108" i="25"/>
  <c r="U138" i="25"/>
  <c r="U150" i="25" s="1"/>
  <c r="U110" i="25"/>
  <c r="U123" i="25"/>
  <c r="U137" i="25"/>
  <c r="U149" i="25" s="1"/>
  <c r="U68" i="25"/>
  <c r="AP7" i="25"/>
  <c r="AP6" i="25"/>
  <c r="M47" i="25" l="1"/>
  <c r="M59" i="25" s="1"/>
  <c r="M71" i="25" s="1"/>
  <c r="AY253" i="25"/>
  <c r="AY244" i="25"/>
  <c r="AY245" i="25" s="1"/>
  <c r="M89" i="25"/>
  <c r="M101" i="25" s="1"/>
  <c r="M113" i="25" s="1"/>
  <c r="M125" i="25" s="1"/>
  <c r="M137" i="25" s="1"/>
  <c r="M149" i="25" s="1"/>
  <c r="M161" i="25" s="1"/>
  <c r="M173" i="25" s="1"/>
  <c r="M185" i="25" s="1"/>
  <c r="M197" i="25" s="1"/>
  <c r="M87" i="25"/>
  <c r="M99" i="25" s="1"/>
  <c r="M111" i="25" s="1"/>
  <c r="M123" i="25" s="1"/>
  <c r="M135" i="25" s="1"/>
  <c r="M147" i="25" s="1"/>
  <c r="M159" i="25" s="1"/>
  <c r="M171" i="25" s="1"/>
  <c r="M183" i="25" s="1"/>
  <c r="M195" i="25" s="1"/>
  <c r="M88" i="25"/>
  <c r="M100" i="25" s="1"/>
  <c r="M112" i="25" s="1"/>
  <c r="M124" i="25" s="1"/>
  <c r="M136" i="25" s="1"/>
  <c r="M148" i="25" s="1"/>
  <c r="M160" i="25" s="1"/>
  <c r="M172" i="25" s="1"/>
  <c r="M184" i="25" s="1"/>
  <c r="M196" i="25" s="1"/>
  <c r="BA299" i="25"/>
  <c r="BB279" i="25"/>
  <c r="U34" i="25"/>
  <c r="U46" i="25" s="1"/>
  <c r="U58" i="25" s="1"/>
  <c r="U70" i="25" s="1"/>
  <c r="U94" i="25" s="1"/>
  <c r="U106" i="25" s="1"/>
  <c r="U118" i="25" s="1"/>
  <c r="M46" i="25"/>
  <c r="M58" i="25" s="1"/>
  <c r="M70" i="25" s="1"/>
  <c r="U162" i="25"/>
  <c r="U163" i="25"/>
  <c r="U161" i="25"/>
  <c r="U119" i="25"/>
  <c r="U135" i="25"/>
  <c r="U147" i="25" s="1"/>
  <c r="U124" i="25"/>
  <c r="U120" i="25"/>
  <c r="U117" i="25"/>
  <c r="U122" i="25"/>
  <c r="U121" i="25"/>
  <c r="U92" i="25"/>
  <c r="M83" i="25" l="1"/>
  <c r="M95" i="25" s="1"/>
  <c r="M107" i="25" s="1"/>
  <c r="M119" i="25" s="1"/>
  <c r="M131" i="25" s="1"/>
  <c r="M143" i="25" s="1"/>
  <c r="M155" i="25" s="1"/>
  <c r="M167" i="25" s="1"/>
  <c r="M179" i="25" s="1"/>
  <c r="M191" i="25" s="1"/>
  <c r="M82" i="25"/>
  <c r="M94" i="25" s="1"/>
  <c r="M106" i="25" s="1"/>
  <c r="M118" i="25" s="1"/>
  <c r="M130" i="25" s="1"/>
  <c r="M142" i="25" s="1"/>
  <c r="M154" i="25" s="1"/>
  <c r="M166" i="25" s="1"/>
  <c r="M178" i="25" s="1"/>
  <c r="M190" i="25" s="1"/>
  <c r="AY254" i="25"/>
  <c r="AY255" i="25" s="1"/>
  <c r="AY263" i="25"/>
  <c r="BB299" i="25"/>
  <c r="BA309" i="25"/>
  <c r="U173" i="25"/>
  <c r="U175" i="25"/>
  <c r="U174" i="25"/>
  <c r="U159" i="25"/>
  <c r="U136" i="25"/>
  <c r="U148" i="25" s="1"/>
  <c r="U133" i="25"/>
  <c r="U145" i="25" s="1"/>
  <c r="U134" i="25"/>
  <c r="U146" i="25" s="1"/>
  <c r="U129" i="25"/>
  <c r="U141" i="25" s="1"/>
  <c r="U131" i="25"/>
  <c r="U143" i="25" s="1"/>
  <c r="U104" i="25"/>
  <c r="U132" i="25"/>
  <c r="U144" i="25" s="1"/>
  <c r="U130" i="25"/>
  <c r="U142" i="25" s="1"/>
  <c r="AY264" i="25" l="1"/>
  <c r="AY265" i="25" s="1"/>
  <c r="AY273" i="25"/>
  <c r="BA319" i="25"/>
  <c r="BB309" i="25"/>
  <c r="U186" i="25"/>
  <c r="U154" i="25"/>
  <c r="U156" i="25"/>
  <c r="U153" i="25"/>
  <c r="U158" i="25"/>
  <c r="U187" i="25"/>
  <c r="U171" i="25"/>
  <c r="U155" i="25"/>
  <c r="U157" i="25"/>
  <c r="U160" i="25"/>
  <c r="U185" i="25"/>
  <c r="U116" i="25"/>
  <c r="AY274" i="25" l="1"/>
  <c r="AY275" i="25" s="1"/>
  <c r="AY293" i="25"/>
  <c r="BA329" i="25"/>
  <c r="BB319" i="25"/>
  <c r="U197" i="25"/>
  <c r="U89" i="25" s="1"/>
  <c r="U199" i="25"/>
  <c r="U91" i="25" s="1"/>
  <c r="U198" i="25"/>
  <c r="U90" i="25" s="1"/>
  <c r="U167" i="25"/>
  <c r="U165" i="25"/>
  <c r="U168" i="25"/>
  <c r="U172" i="25"/>
  <c r="U166" i="25"/>
  <c r="U169" i="25"/>
  <c r="U183" i="25"/>
  <c r="U170" i="25"/>
  <c r="U128" i="25"/>
  <c r="U140" i="25" s="1"/>
  <c r="AY303" i="25" l="1"/>
  <c r="AY294" i="25"/>
  <c r="AY295" i="25" s="1"/>
  <c r="BB329" i="25"/>
  <c r="BA339" i="25"/>
  <c r="U195" i="25"/>
  <c r="U87" i="25" s="1"/>
  <c r="U184" i="25"/>
  <c r="U178" i="25"/>
  <c r="U182" i="25"/>
  <c r="U180" i="25"/>
  <c r="U181" i="25"/>
  <c r="U177" i="25"/>
  <c r="U152" i="25"/>
  <c r="U179" i="25"/>
  <c r="AY313" i="25" l="1"/>
  <c r="AY304" i="25"/>
  <c r="AY305" i="25" s="1"/>
  <c r="BA349" i="25"/>
  <c r="BB339" i="25"/>
  <c r="U190" i="25"/>
  <c r="U82" i="25" s="1"/>
  <c r="U189" i="25"/>
  <c r="U81" i="25" s="1"/>
  <c r="U196" i="25"/>
  <c r="U88" i="25" s="1"/>
  <c r="U192" i="25"/>
  <c r="U84" i="25" s="1"/>
  <c r="U194" i="25"/>
  <c r="U86" i="25" s="1"/>
  <c r="U193" i="25"/>
  <c r="U85" i="25" s="1"/>
  <c r="U191" i="25"/>
  <c r="U83" i="25" s="1"/>
  <c r="U164" i="25"/>
  <c r="AY314" i="25" l="1"/>
  <c r="AY315" i="25" s="1"/>
  <c r="AY323" i="25"/>
  <c r="BB349" i="25"/>
  <c r="U176" i="25"/>
  <c r="AY333" i="25" l="1"/>
  <c r="AY324" i="25"/>
  <c r="AY325" i="25" s="1"/>
  <c r="U188" i="25"/>
  <c r="U80" i="25" s="1"/>
  <c r="AY334" i="25" l="1"/>
  <c r="AY335" i="25" s="1"/>
  <c r="AY343" i="25"/>
  <c r="AY344" i="25" s="1"/>
  <c r="AY345" i="25" s="1"/>
  <c r="BS275" i="7" l="1"/>
  <c r="BS274" i="7"/>
  <c r="BS273" i="7"/>
  <c r="BS272" i="7"/>
  <c r="BS271" i="7"/>
  <c r="BS270" i="7"/>
  <c r="BS269" i="7"/>
  <c r="BS268" i="7"/>
  <c r="BS267" i="7"/>
  <c r="BS266" i="7"/>
  <c r="BS265" i="7"/>
  <c r="BS264" i="7"/>
  <c r="BS263" i="7"/>
  <c r="BS262" i="7"/>
  <c r="BS261" i="7"/>
  <c r="BS260" i="7"/>
  <c r="BS259" i="7"/>
  <c r="BS258" i="7"/>
  <c r="BS257" i="7"/>
  <c r="BS256" i="7"/>
  <c r="BS255" i="7"/>
  <c r="BS254" i="7"/>
  <c r="BS253" i="7"/>
  <c r="BS252" i="7"/>
  <c r="BS251" i="7"/>
  <c r="BS250" i="7"/>
  <c r="BS249" i="7"/>
  <c r="BS248" i="7"/>
  <c r="BS247" i="7"/>
  <c r="BS246" i="7"/>
  <c r="BS245" i="7"/>
  <c r="BS244" i="7"/>
  <c r="BS243" i="7"/>
  <c r="BS242" i="7"/>
  <c r="BS241" i="7"/>
  <c r="BS240" i="7"/>
  <c r="BS239" i="7"/>
  <c r="BS238" i="7"/>
  <c r="BS237" i="7"/>
  <c r="BS236" i="7"/>
  <c r="BS235" i="7"/>
  <c r="BS234" i="7"/>
  <c r="BS233" i="7"/>
  <c r="BS232" i="7"/>
  <c r="BS231" i="7"/>
  <c r="BS230" i="7"/>
  <c r="BS229" i="7"/>
  <c r="BS228" i="7"/>
  <c r="BS227" i="7"/>
  <c r="BS226" i="7"/>
  <c r="BS225" i="7"/>
  <c r="BS224" i="7"/>
  <c r="BS223" i="7"/>
  <c r="BS222" i="7"/>
  <c r="BS221" i="7"/>
  <c r="BS220" i="7"/>
  <c r="BS219" i="7"/>
  <c r="BS218" i="7"/>
  <c r="BS217" i="7"/>
  <c r="BS216" i="7"/>
  <c r="BS215" i="7"/>
  <c r="BS214" i="7"/>
  <c r="BS213" i="7"/>
  <c r="BS212" i="7"/>
  <c r="BS211" i="7"/>
  <c r="BS210" i="7"/>
  <c r="BS209" i="7"/>
  <c r="BS208" i="7"/>
  <c r="BS207" i="7"/>
  <c r="BS206" i="7"/>
  <c r="BS205" i="7"/>
  <c r="BS204" i="7"/>
  <c r="BS203" i="7"/>
  <c r="BS202" i="7"/>
  <c r="BS201" i="7"/>
  <c r="BS200" i="7"/>
  <c r="BS199" i="7"/>
  <c r="BS198" i="7"/>
  <c r="BS197" i="7"/>
  <c r="BS196" i="7"/>
  <c r="BS195" i="7"/>
  <c r="BS194" i="7"/>
  <c r="BS193" i="7"/>
  <c r="BS192" i="7"/>
  <c r="BS191" i="7"/>
  <c r="BS190" i="7"/>
  <c r="BS189" i="7"/>
  <c r="BS188" i="7"/>
  <c r="BS187" i="7"/>
  <c r="BS186" i="7"/>
  <c r="BS185" i="7"/>
  <c r="BS184" i="7"/>
  <c r="BS183" i="7"/>
  <c r="BS182" i="7"/>
  <c r="BS181" i="7"/>
  <c r="BS180" i="7"/>
  <c r="BS169" i="7"/>
  <c r="BS168" i="7"/>
  <c r="BS167" i="7"/>
  <c r="BS166" i="7"/>
  <c r="BS165" i="7"/>
  <c r="BS164" i="7"/>
  <c r="BS163" i="7"/>
  <c r="BS162" i="7"/>
  <c r="BS161" i="7"/>
  <c r="BS160" i="7"/>
  <c r="BS159" i="7"/>
  <c r="BS158" i="7"/>
  <c r="BS157" i="7"/>
  <c r="BS156" i="7"/>
  <c r="BS155" i="7"/>
  <c r="BS154" i="7"/>
  <c r="BS153" i="7"/>
  <c r="BS152" i="7"/>
  <c r="BS151" i="7"/>
  <c r="BS150" i="7"/>
  <c r="BS149" i="7"/>
  <c r="BS148" i="7"/>
  <c r="BS147" i="7"/>
  <c r="BS146" i="7"/>
  <c r="BS145" i="7"/>
  <c r="BS144" i="7"/>
  <c r="BS143" i="7"/>
  <c r="BS142" i="7"/>
  <c r="BS141" i="7"/>
  <c r="BS140" i="7"/>
  <c r="BS139" i="7"/>
  <c r="BS138" i="7"/>
  <c r="BS137" i="7"/>
  <c r="BS136" i="7"/>
  <c r="BS135" i="7"/>
  <c r="BS134" i="7"/>
  <c r="BS133" i="7"/>
  <c r="BS132" i="7"/>
  <c r="BS131" i="7"/>
  <c r="BS130" i="7"/>
  <c r="BS129" i="7"/>
  <c r="BS128" i="7"/>
  <c r="BS127" i="7"/>
  <c r="BS126" i="7"/>
  <c r="BS125" i="7"/>
  <c r="BS124" i="7"/>
  <c r="BS123" i="7"/>
  <c r="BS122" i="7"/>
  <c r="BS121" i="7"/>
  <c r="BS120" i="7"/>
  <c r="BS119" i="7"/>
  <c r="BS118" i="7"/>
  <c r="BS117" i="7"/>
  <c r="BS116" i="7"/>
  <c r="BS115" i="7"/>
  <c r="BS114" i="7"/>
  <c r="BS113" i="7"/>
  <c r="BS112" i="7"/>
  <c r="BS111" i="7"/>
  <c r="BS110" i="7"/>
  <c r="BS109" i="7"/>
  <c r="BS108" i="7"/>
  <c r="BS107" i="7"/>
  <c r="BS106" i="7"/>
  <c r="BS105" i="7"/>
  <c r="BS104" i="7"/>
  <c r="BS103" i="7"/>
  <c r="BS102" i="7"/>
  <c r="BS101" i="7"/>
  <c r="BS276" i="7"/>
  <c r="AJ275" i="7"/>
  <c r="AJ263" i="7"/>
  <c r="AJ262" i="7"/>
  <c r="AJ261" i="7"/>
  <c r="AJ260" i="7"/>
  <c r="AJ249" i="7"/>
  <c r="AJ248" i="7"/>
  <c r="AJ247" i="7"/>
  <c r="AJ246" i="7"/>
  <c r="AJ245" i="7"/>
  <c r="AJ244" i="7"/>
  <c r="AJ243" i="7"/>
  <c r="AJ242" i="7"/>
  <c r="AJ241" i="7"/>
  <c r="AJ240" i="7"/>
  <c r="AJ239" i="7"/>
  <c r="AJ238" i="7"/>
  <c r="AJ237" i="7"/>
  <c r="AJ236" i="7"/>
  <c r="AJ235" i="7"/>
  <c r="AJ234" i="7"/>
  <c r="AJ233" i="7"/>
  <c r="AJ232" i="7"/>
  <c r="AJ231" i="7"/>
  <c r="AJ230" i="7"/>
  <c r="AJ229" i="7"/>
  <c r="AJ228" i="7"/>
  <c r="AJ227" i="7"/>
  <c r="AJ226" i="7"/>
  <c r="AJ225" i="7"/>
  <c r="AJ224" i="7"/>
  <c r="AJ223" i="7"/>
  <c r="AJ222" i="7"/>
  <c r="AJ221" i="7"/>
  <c r="AJ220" i="7"/>
  <c r="AJ219" i="7"/>
  <c r="AJ218" i="7"/>
  <c r="AJ217" i="7"/>
  <c r="AJ216" i="7"/>
  <c r="AJ215" i="7"/>
  <c r="AJ214" i="7"/>
  <c r="AJ213" i="7"/>
  <c r="AJ212" i="7"/>
  <c r="AJ211" i="7"/>
  <c r="AJ210" i="7"/>
  <c r="AJ209" i="7"/>
  <c r="AJ208" i="7"/>
  <c r="AJ207" i="7"/>
  <c r="AJ206" i="7"/>
  <c r="AJ205" i="7"/>
  <c r="AJ204" i="7"/>
  <c r="AJ203" i="7"/>
  <c r="AJ202" i="7"/>
  <c r="AJ201" i="7"/>
  <c r="AJ200" i="7"/>
  <c r="AJ199" i="7"/>
  <c r="AJ198" i="7"/>
  <c r="AJ197" i="7"/>
  <c r="AJ196" i="7"/>
  <c r="AJ195" i="7"/>
  <c r="AJ194" i="7"/>
  <c r="AJ193" i="7"/>
  <c r="AJ192" i="7"/>
  <c r="AJ191" i="7"/>
  <c r="AJ190" i="7"/>
  <c r="AJ189" i="7"/>
  <c r="AJ188" i="7"/>
  <c r="AJ187" i="7"/>
  <c r="AJ186" i="7"/>
  <c r="AJ185" i="7"/>
  <c r="AJ184" i="7"/>
  <c r="AJ183" i="7"/>
  <c r="AJ182" i="7"/>
  <c r="AJ181" i="7"/>
  <c r="AJ180" i="7"/>
  <c r="AJ179" i="7"/>
  <c r="AJ178" i="7"/>
  <c r="AJ177" i="7"/>
  <c r="AJ176" i="7"/>
  <c r="AJ175" i="7"/>
  <c r="AJ174" i="7"/>
  <c r="AJ173" i="7"/>
  <c r="AJ172" i="7"/>
  <c r="AJ171" i="7"/>
  <c r="AJ170" i="7"/>
  <c r="AJ169" i="7"/>
  <c r="AJ168" i="7"/>
  <c r="AJ167" i="7"/>
  <c r="AJ166" i="7"/>
  <c r="AJ165" i="7"/>
  <c r="AJ164" i="7"/>
  <c r="AJ163" i="7"/>
  <c r="AJ162" i="7"/>
  <c r="AJ161" i="7"/>
  <c r="AJ160" i="7"/>
  <c r="AJ159" i="7"/>
  <c r="AJ158" i="7"/>
  <c r="AJ157" i="7"/>
  <c r="AJ156" i="7"/>
  <c r="AJ155" i="7"/>
  <c r="AJ154" i="7"/>
  <c r="AJ153" i="7"/>
  <c r="AJ152" i="7"/>
  <c r="AJ151" i="7"/>
  <c r="AJ150" i="7"/>
  <c r="AJ149" i="7"/>
  <c r="AJ148" i="7"/>
  <c r="AJ147" i="7"/>
  <c r="AJ146" i="7"/>
  <c r="AJ145" i="7"/>
  <c r="AJ144" i="7"/>
  <c r="AJ143" i="7"/>
  <c r="AJ142" i="7"/>
  <c r="AJ141" i="7"/>
  <c r="AJ140" i="7"/>
  <c r="AJ139" i="7"/>
  <c r="AJ136" i="7"/>
  <c r="AJ135" i="7"/>
  <c r="AJ134" i="7"/>
  <c r="AJ133" i="7"/>
  <c r="AJ132" i="7"/>
  <c r="AJ131" i="7"/>
  <c r="AJ130" i="7"/>
  <c r="AJ129" i="7"/>
  <c r="AJ128" i="7"/>
  <c r="AJ127" i="7"/>
  <c r="AJ126" i="7"/>
  <c r="AJ125" i="7"/>
  <c r="AJ124" i="7"/>
  <c r="AJ123" i="7"/>
  <c r="AJ122" i="7"/>
  <c r="AJ121" i="7"/>
  <c r="AJ120" i="7"/>
  <c r="AJ119" i="7"/>
  <c r="AJ118" i="7"/>
  <c r="AJ117" i="7"/>
  <c r="AJ116" i="7"/>
  <c r="AJ115" i="7"/>
  <c r="AJ114" i="7"/>
  <c r="AJ112" i="7"/>
  <c r="AJ111" i="7"/>
  <c r="AJ110" i="7"/>
  <c r="AJ109" i="7"/>
  <c r="AJ108" i="7"/>
  <c r="AJ107" i="7"/>
  <c r="AJ106" i="7"/>
  <c r="AJ105" i="7"/>
  <c r="AJ104" i="7"/>
  <c r="AJ103" i="7"/>
  <c r="AJ276" i="7"/>
  <c r="AF113" i="7"/>
  <c r="BP276" i="7"/>
  <c r="BP275" i="7"/>
  <c r="BP274" i="7"/>
  <c r="BP273" i="7"/>
  <c r="BP272" i="7"/>
  <c r="BP271" i="7"/>
  <c r="BP270" i="7"/>
  <c r="BP269" i="7"/>
  <c r="BP268" i="7"/>
  <c r="BP267" i="7"/>
  <c r="BP266" i="7"/>
  <c r="BP265" i="7"/>
  <c r="BP264" i="7"/>
  <c r="BP263" i="7"/>
  <c r="BP262" i="7"/>
  <c r="BP261" i="7"/>
  <c r="BP260" i="7"/>
  <c r="BP259" i="7"/>
  <c r="BP258" i="7"/>
  <c r="BP257" i="7"/>
  <c r="BP256" i="7"/>
  <c r="BP255" i="7"/>
  <c r="BP254" i="7"/>
  <c r="BP253" i="7"/>
  <c r="BP252" i="7"/>
  <c r="BP251" i="7"/>
  <c r="BP250" i="7"/>
  <c r="BP249" i="7"/>
  <c r="BP248" i="7"/>
  <c r="BP247" i="7"/>
  <c r="BP246" i="7"/>
  <c r="BP236" i="7"/>
  <c r="BP235" i="7"/>
  <c r="BP234" i="7"/>
  <c r="BP233" i="7"/>
  <c r="BP232" i="7"/>
  <c r="BP231" i="7"/>
  <c r="BP230" i="7"/>
  <c r="BP229" i="7"/>
  <c r="BP228" i="7"/>
  <c r="BP227" i="7"/>
  <c r="BP226" i="7"/>
  <c r="BP225" i="7"/>
  <c r="BP224" i="7"/>
  <c r="BP223" i="7"/>
  <c r="BP222" i="7"/>
  <c r="BP221" i="7"/>
  <c r="BP220" i="7"/>
  <c r="BP219" i="7"/>
  <c r="BP218" i="7"/>
  <c r="BP217" i="7"/>
  <c r="BP216" i="7"/>
  <c r="BP215" i="7"/>
  <c r="BP214" i="7"/>
  <c r="BP213" i="7"/>
  <c r="BP203" i="7"/>
  <c r="BP202" i="7"/>
  <c r="BP201" i="7"/>
  <c r="BP200" i="7"/>
  <c r="BP199" i="7"/>
  <c r="BP198" i="7"/>
  <c r="BP197" i="7"/>
  <c r="BP196" i="7"/>
  <c r="BP195" i="7"/>
  <c r="BP194" i="7"/>
  <c r="BP193" i="7"/>
  <c r="BP192" i="7"/>
  <c r="BP191" i="7"/>
  <c r="BP190" i="7"/>
  <c r="BP189" i="7"/>
  <c r="BP188" i="7"/>
  <c r="BP187" i="7"/>
  <c r="BP186" i="7"/>
  <c r="BP185" i="7"/>
  <c r="BP184" i="7"/>
  <c r="BP183" i="7"/>
  <c r="BP182" i="7"/>
  <c r="BP181" i="7"/>
  <c r="BP180" i="7"/>
  <c r="BP179" i="7"/>
  <c r="BP178" i="7"/>
  <c r="BP177" i="7"/>
  <c r="BP176" i="7"/>
  <c r="BP175" i="7"/>
  <c r="BP174" i="7"/>
  <c r="BP173" i="7"/>
  <c r="BP172" i="7"/>
  <c r="BP171" i="7"/>
  <c r="BP170" i="7"/>
  <c r="BP169" i="7"/>
  <c r="BP168" i="7"/>
  <c r="BP158" i="7"/>
  <c r="BP157" i="7"/>
  <c r="BP156" i="7"/>
  <c r="BP155" i="7"/>
  <c r="BP154" i="7"/>
  <c r="BP153" i="7"/>
  <c r="BP152" i="7"/>
  <c r="BP151" i="7"/>
  <c r="BP150" i="7"/>
  <c r="BP149" i="7"/>
  <c r="BP148" i="7"/>
  <c r="BP147" i="7"/>
  <c r="BP146" i="7"/>
  <c r="BP145" i="7"/>
  <c r="BP144" i="7"/>
  <c r="BP143" i="7"/>
  <c r="BP142" i="7"/>
  <c r="BP141" i="7"/>
  <c r="BP140" i="7"/>
  <c r="BP139" i="7"/>
  <c r="BP138" i="7"/>
  <c r="BP137" i="7"/>
  <c r="BP136" i="7"/>
  <c r="BP135" i="7"/>
  <c r="BP134" i="7"/>
  <c r="BP133" i="7"/>
  <c r="BP132" i="7"/>
  <c r="BP131" i="7"/>
  <c r="BP130" i="7"/>
  <c r="BP129" i="7"/>
  <c r="BP128" i="7"/>
  <c r="BP127" i="7"/>
  <c r="BP126" i="7"/>
  <c r="BP125" i="7"/>
  <c r="BP124" i="7"/>
  <c r="BP123" i="7"/>
  <c r="BP122" i="7"/>
  <c r="BP121" i="7"/>
  <c r="BP120" i="7"/>
  <c r="BP119" i="7"/>
  <c r="BP118" i="7"/>
  <c r="BP117" i="7"/>
  <c r="BP116" i="7"/>
  <c r="BP115" i="7"/>
  <c r="BP114" i="7"/>
  <c r="BP113" i="7"/>
  <c r="BP112" i="7"/>
  <c r="BP111" i="7"/>
  <c r="BP110" i="7"/>
  <c r="BP109" i="7"/>
  <c r="BP108" i="7"/>
  <c r="BP107" i="7"/>
  <c r="BP106" i="7"/>
  <c r="BP105" i="7"/>
  <c r="BP104" i="7"/>
  <c r="BP103" i="7"/>
  <c r="BP102" i="7"/>
  <c r="BP101"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F276" i="7"/>
  <c r="BF275" i="7"/>
  <c r="BF274" i="7"/>
  <c r="BF273" i="7"/>
  <c r="BF272" i="7"/>
  <c r="BF271" i="7"/>
  <c r="BF270" i="7"/>
  <c r="BF269" i="7"/>
  <c r="BF268" i="7"/>
  <c r="BF267" i="7"/>
  <c r="BF266" i="7"/>
  <c r="BF265" i="7"/>
  <c r="BF264" i="7"/>
  <c r="BF263" i="7"/>
  <c r="BF262" i="7"/>
  <c r="BF261" i="7"/>
  <c r="BF260" i="7"/>
  <c r="BF259" i="7"/>
  <c r="BF258" i="7"/>
  <c r="BF257" i="7"/>
  <c r="BF256" i="7"/>
  <c r="BF255" i="7"/>
  <c r="BF254" i="7"/>
  <c r="BF253" i="7"/>
  <c r="BF252" i="7"/>
  <c r="BF251" i="7"/>
  <c r="BF250" i="7"/>
  <c r="BF249" i="7"/>
  <c r="BF248" i="7"/>
  <c r="BF247" i="7"/>
  <c r="BF246" i="7"/>
  <c r="BF245" i="7"/>
  <c r="BF244" i="7"/>
  <c r="BF243" i="7"/>
  <c r="BF242" i="7"/>
  <c r="BF241" i="7"/>
  <c r="BF240" i="7"/>
  <c r="BF239" i="7"/>
  <c r="BF238" i="7"/>
  <c r="BF237" i="7"/>
  <c r="BF236" i="7"/>
  <c r="BF235" i="7"/>
  <c r="BF234" i="7"/>
  <c r="BF233" i="7"/>
  <c r="BF232" i="7"/>
  <c r="BF231" i="7"/>
  <c r="BF230" i="7"/>
  <c r="BF229" i="7"/>
  <c r="BF228" i="7"/>
  <c r="BF227" i="7"/>
  <c r="BF226" i="7"/>
  <c r="BF225" i="7"/>
  <c r="BF224" i="7"/>
  <c r="BF223" i="7"/>
  <c r="BF222" i="7"/>
  <c r="BF221" i="7"/>
  <c r="BF220" i="7"/>
  <c r="BF219" i="7"/>
  <c r="BF218" i="7"/>
  <c r="BF217" i="7"/>
  <c r="BF216" i="7"/>
  <c r="BF215" i="7"/>
  <c r="BF214" i="7"/>
  <c r="BF213" i="7"/>
  <c r="BF212" i="7"/>
  <c r="BF211" i="7"/>
  <c r="BF210" i="7"/>
  <c r="BF209" i="7"/>
  <c r="BF208" i="7"/>
  <c r="BF207" i="7"/>
  <c r="BF206" i="7"/>
  <c r="BF205" i="7"/>
  <c r="BF204" i="7"/>
  <c r="BF203" i="7"/>
  <c r="BF202" i="7"/>
  <c r="BF201" i="7"/>
  <c r="BF200" i="7"/>
  <c r="BF199" i="7"/>
  <c r="BF198" i="7"/>
  <c r="BF197" i="7"/>
  <c r="BF196" i="7"/>
  <c r="BF195" i="7"/>
  <c r="BF194" i="7"/>
  <c r="BF193" i="7"/>
  <c r="BF192" i="7"/>
  <c r="BF191" i="7"/>
  <c r="BF190" i="7"/>
  <c r="BF189" i="7"/>
  <c r="BF188" i="7"/>
  <c r="BF187" i="7"/>
  <c r="BF186" i="7"/>
  <c r="BF185" i="7"/>
  <c r="BF184" i="7"/>
  <c r="BF183" i="7"/>
  <c r="BF182" i="7"/>
  <c r="BF181" i="7"/>
  <c r="BF180" i="7"/>
  <c r="BF179" i="7"/>
  <c r="BF178" i="7"/>
  <c r="BF177" i="7"/>
  <c r="BF176" i="7"/>
  <c r="BF175" i="7"/>
  <c r="BF174" i="7"/>
  <c r="BF173" i="7"/>
  <c r="BF172" i="7"/>
  <c r="BF171" i="7"/>
  <c r="BF170" i="7"/>
  <c r="BF169" i="7"/>
  <c r="BF168" i="7"/>
  <c r="BF167" i="7"/>
  <c r="BF166" i="7"/>
  <c r="BF165" i="7"/>
  <c r="BF164" i="7"/>
  <c r="BF163" i="7"/>
  <c r="BF162" i="7"/>
  <c r="BF161" i="7"/>
  <c r="BF160" i="7"/>
  <c r="BF159" i="7"/>
  <c r="BF158" i="7"/>
  <c r="BF157" i="7"/>
  <c r="BF156" i="7"/>
  <c r="BF155" i="7"/>
  <c r="BF154" i="7"/>
  <c r="BF153" i="7"/>
  <c r="BF152" i="7"/>
  <c r="BF151" i="7"/>
  <c r="BF150" i="7"/>
  <c r="BF149" i="7"/>
  <c r="BF148" i="7"/>
  <c r="BF147" i="7"/>
  <c r="BF146" i="7"/>
  <c r="BF145" i="7"/>
  <c r="BF144" i="7"/>
  <c r="BF143" i="7"/>
  <c r="BF142" i="7"/>
  <c r="BF141" i="7"/>
  <c r="BF140" i="7"/>
  <c r="BF139" i="7"/>
  <c r="BF138" i="7"/>
  <c r="BF137" i="7"/>
  <c r="BF136" i="7"/>
  <c r="BF135" i="7"/>
  <c r="BF134" i="7"/>
  <c r="BF133" i="7"/>
  <c r="BF132" i="7"/>
  <c r="BF131" i="7"/>
  <c r="BF130" i="7"/>
  <c r="BF129" i="7"/>
  <c r="BF128" i="7"/>
  <c r="BF127" i="7"/>
  <c r="BF126" i="7"/>
  <c r="BF125" i="7"/>
  <c r="BF124" i="7"/>
  <c r="BF123" i="7"/>
  <c r="BF122" i="7"/>
  <c r="BF121" i="7"/>
  <c r="BF120" i="7"/>
  <c r="BF119" i="7"/>
  <c r="BF118" i="7"/>
  <c r="BF117" i="7"/>
  <c r="BF116" i="7"/>
  <c r="BF115" i="7"/>
  <c r="BF114" i="7"/>
  <c r="BF113" i="7"/>
  <c r="BF112" i="7"/>
  <c r="BF111" i="7"/>
  <c r="BF110" i="7"/>
  <c r="BF109" i="7"/>
  <c r="BF108" i="7"/>
  <c r="BF107" i="7"/>
  <c r="BF106" i="7"/>
  <c r="BF105" i="7"/>
  <c r="BF104" i="7"/>
  <c r="BF103" i="7"/>
  <c r="BF102" i="7"/>
  <c r="BF101" i="7"/>
  <c r="BC276" i="7"/>
  <c r="BC275" i="7"/>
  <c r="BC274" i="7"/>
  <c r="BC273" i="7"/>
  <c r="BC272" i="7"/>
  <c r="BC271" i="7"/>
  <c r="BC270" i="7"/>
  <c r="BC269" i="7"/>
  <c r="BC268" i="7"/>
  <c r="BC267" i="7"/>
  <c r="BC266" i="7"/>
  <c r="BC265" i="7"/>
  <c r="BC264" i="7"/>
  <c r="BC263" i="7"/>
  <c r="BC262" i="7"/>
  <c r="BC261" i="7"/>
  <c r="BC260" i="7"/>
  <c r="BC259" i="7"/>
  <c r="BC258" i="7"/>
  <c r="BC257" i="7"/>
  <c r="BC256" i="7"/>
  <c r="BC255" i="7"/>
  <c r="BC254" i="7"/>
  <c r="BC253" i="7"/>
  <c r="BC252" i="7"/>
  <c r="BC251" i="7"/>
  <c r="BC250" i="7"/>
  <c r="BC249" i="7"/>
  <c r="BC248" i="7"/>
  <c r="BC247" i="7"/>
  <c r="BC246" i="7"/>
  <c r="BC245" i="7"/>
  <c r="BC244" i="7"/>
  <c r="BC243" i="7"/>
  <c r="BC242" i="7"/>
  <c r="BC241" i="7"/>
  <c r="BC240" i="7"/>
  <c r="BC239" i="7"/>
  <c r="BC238" i="7"/>
  <c r="BC237" i="7"/>
  <c r="BC236" i="7"/>
  <c r="BC235" i="7"/>
  <c r="BC234" i="7"/>
  <c r="BC233" i="7"/>
  <c r="BC232" i="7"/>
  <c r="BC231" i="7"/>
  <c r="BC230" i="7"/>
  <c r="BC229" i="7"/>
  <c r="BC228" i="7"/>
  <c r="BC227" i="7"/>
  <c r="BC226" i="7"/>
  <c r="BC225" i="7"/>
  <c r="BC224" i="7"/>
  <c r="BC223" i="7"/>
  <c r="BC222" i="7"/>
  <c r="BC221" i="7"/>
  <c r="BC220" i="7"/>
  <c r="BC219" i="7"/>
  <c r="BC218" i="7"/>
  <c r="BC217" i="7"/>
  <c r="BC216" i="7"/>
  <c r="BC215" i="7"/>
  <c r="BC214" i="7"/>
  <c r="BC213" i="7"/>
  <c r="BC212" i="7"/>
  <c r="BC211" i="7"/>
  <c r="BC210" i="7"/>
  <c r="BC209" i="7"/>
  <c r="BC208" i="7"/>
  <c r="BC207" i="7"/>
  <c r="BC206" i="7"/>
  <c r="BC205" i="7"/>
  <c r="BC204" i="7"/>
  <c r="BC203" i="7"/>
  <c r="BC202" i="7"/>
  <c r="BC201" i="7"/>
  <c r="BC200" i="7"/>
  <c r="BC199" i="7"/>
  <c r="BC198" i="7"/>
  <c r="BC197" i="7"/>
  <c r="BC196" i="7"/>
  <c r="BC195" i="7"/>
  <c r="BC194" i="7"/>
  <c r="BC193" i="7"/>
  <c r="BC192" i="7"/>
  <c r="BC191" i="7"/>
  <c r="BC190" i="7"/>
  <c r="BC189" i="7"/>
  <c r="BC188" i="7"/>
  <c r="BC187" i="7"/>
  <c r="BC186" i="7"/>
  <c r="BC185" i="7"/>
  <c r="BC184" i="7"/>
  <c r="BC183" i="7"/>
  <c r="BC182" i="7"/>
  <c r="BC181" i="7"/>
  <c r="BC180" i="7"/>
  <c r="BC179" i="7"/>
  <c r="BC178" i="7"/>
  <c r="BC177" i="7"/>
  <c r="BC176" i="7"/>
  <c r="BC175" i="7"/>
  <c r="BC174" i="7"/>
  <c r="BC173" i="7"/>
  <c r="BC172" i="7"/>
  <c r="BC171" i="7"/>
  <c r="BC170" i="7"/>
  <c r="BC169" i="7"/>
  <c r="BC168" i="7"/>
  <c r="BC167" i="7"/>
  <c r="BC166" i="7"/>
  <c r="BC165" i="7"/>
  <c r="BC164" i="7"/>
  <c r="BC163" i="7"/>
  <c r="BC162" i="7"/>
  <c r="BC161" i="7"/>
  <c r="BC160" i="7"/>
  <c r="BC159" i="7"/>
  <c r="BC158" i="7"/>
  <c r="BC157" i="7"/>
  <c r="BC156" i="7"/>
  <c r="BC155" i="7"/>
  <c r="BC154" i="7"/>
  <c r="BC153" i="7"/>
  <c r="BC152" i="7"/>
  <c r="BC151" i="7"/>
  <c r="BC150" i="7"/>
  <c r="BC149" i="7"/>
  <c r="BC148" i="7"/>
  <c r="BC147" i="7"/>
  <c r="BC146" i="7"/>
  <c r="BC145" i="7"/>
  <c r="BC144" i="7"/>
  <c r="BC143" i="7"/>
  <c r="BC142" i="7"/>
  <c r="BC141" i="7"/>
  <c r="BC140" i="7"/>
  <c r="BC139" i="7"/>
  <c r="BC138" i="7"/>
  <c r="BC137" i="7"/>
  <c r="BC136" i="7"/>
  <c r="BC135" i="7"/>
  <c r="BC134" i="7"/>
  <c r="BC133" i="7"/>
  <c r="BC132" i="7"/>
  <c r="BC131" i="7"/>
  <c r="BC130" i="7"/>
  <c r="BC129" i="7"/>
  <c r="BC128" i="7"/>
  <c r="BC127" i="7"/>
  <c r="BC126" i="7"/>
  <c r="BC125" i="7"/>
  <c r="BC124" i="7"/>
  <c r="BC123" i="7"/>
  <c r="BC122" i="7"/>
  <c r="BC121" i="7"/>
  <c r="BC120" i="7"/>
  <c r="BC119" i="7"/>
  <c r="BC118" i="7"/>
  <c r="BC117" i="7"/>
  <c r="BC116" i="7"/>
  <c r="BC115" i="7"/>
  <c r="BC114" i="7"/>
  <c r="BC113" i="7"/>
  <c r="BC112" i="7"/>
  <c r="BC111" i="7"/>
  <c r="BC110" i="7"/>
  <c r="BC109" i="7"/>
  <c r="BC108" i="7"/>
  <c r="BC107" i="7"/>
  <c r="BC106" i="7"/>
  <c r="BC105" i="7"/>
  <c r="BC104" i="7"/>
  <c r="BC103" i="7"/>
  <c r="BC102" i="7"/>
  <c r="BC101" i="7"/>
  <c r="AW273" i="7"/>
  <c r="AW272" i="7"/>
  <c r="AW271" i="7"/>
  <c r="AW270" i="7"/>
  <c r="AW269" i="7"/>
  <c r="AW268" i="7"/>
  <c r="AW267" i="7"/>
  <c r="AW266" i="7"/>
  <c r="AW265" i="7"/>
  <c r="AW263" i="7"/>
  <c r="AW262" i="7"/>
  <c r="AW261" i="7"/>
  <c r="AW260" i="7"/>
  <c r="AW259" i="7"/>
  <c r="AW258" i="7"/>
  <c r="AW257" i="7"/>
  <c r="AW256" i="7"/>
  <c r="AW255" i="7"/>
  <c r="AW254" i="7"/>
  <c r="AW253" i="7"/>
  <c r="AW252" i="7"/>
  <c r="AW251" i="7"/>
  <c r="AW250" i="7"/>
  <c r="AW249" i="7"/>
  <c r="AW248" i="7"/>
  <c r="AW247" i="7"/>
  <c r="AW246" i="7"/>
  <c r="AW245" i="7"/>
  <c r="AW244" i="7"/>
  <c r="AW243" i="7"/>
  <c r="AW242" i="7"/>
  <c r="AW241" i="7"/>
  <c r="AW240" i="7"/>
  <c r="AW239" i="7"/>
  <c r="AW238" i="7"/>
  <c r="AW237" i="7"/>
  <c r="AW236" i="7"/>
  <c r="AW235" i="7"/>
  <c r="AW234" i="7"/>
  <c r="AW233" i="7"/>
  <c r="AW232" i="7"/>
  <c r="AW231" i="7"/>
  <c r="AW230" i="7"/>
  <c r="AW229" i="7"/>
  <c r="AW228" i="7"/>
  <c r="AW227" i="7"/>
  <c r="AW226" i="7"/>
  <c r="AW225" i="7"/>
  <c r="AW224" i="7"/>
  <c r="AW223" i="7"/>
  <c r="AW222" i="7"/>
  <c r="AW221" i="7"/>
  <c r="AW220" i="7"/>
  <c r="AW219" i="7"/>
  <c r="AW218" i="7"/>
  <c r="AW217" i="7"/>
  <c r="AW216" i="7"/>
  <c r="AW215" i="7"/>
  <c r="AW214" i="7"/>
  <c r="AW213" i="7"/>
  <c r="AW212" i="7"/>
  <c r="AW211" i="7"/>
  <c r="AW210" i="7"/>
  <c r="AW209" i="7"/>
  <c r="AW208" i="7"/>
  <c r="AW207" i="7"/>
  <c r="AW206" i="7"/>
  <c r="AW205" i="7"/>
  <c r="AW204" i="7"/>
  <c r="AW203" i="7"/>
  <c r="AW202" i="7"/>
  <c r="AW201" i="7"/>
  <c r="AW200" i="7"/>
  <c r="AW199" i="7"/>
  <c r="AW198" i="7"/>
  <c r="AW197" i="7"/>
  <c r="AW196" i="7"/>
  <c r="AW195" i="7"/>
  <c r="AW194" i="7"/>
  <c r="AW193" i="7"/>
  <c r="AW192" i="7"/>
  <c r="AW191" i="7"/>
  <c r="AW190" i="7"/>
  <c r="AW189" i="7"/>
  <c r="AW188" i="7"/>
  <c r="AW187" i="7"/>
  <c r="AW186" i="7"/>
  <c r="AW185" i="7"/>
  <c r="AW184" i="7"/>
  <c r="AW183" i="7"/>
  <c r="AW182" i="7"/>
  <c r="AW181" i="7"/>
  <c r="AW180" i="7"/>
  <c r="AW169" i="7"/>
  <c r="AW167" i="7"/>
  <c r="AW166" i="7"/>
  <c r="AW165" i="7"/>
  <c r="AW164" i="7"/>
  <c r="AW163" i="7"/>
  <c r="AW162" i="7"/>
  <c r="AW161" i="7"/>
  <c r="AW160" i="7"/>
  <c r="AW159" i="7"/>
  <c r="AW158" i="7"/>
  <c r="AW157" i="7"/>
  <c r="AW156" i="7"/>
  <c r="AW155" i="7"/>
  <c r="AW154" i="7"/>
  <c r="AW153" i="7"/>
  <c r="AW152" i="7"/>
  <c r="AW151" i="7"/>
  <c r="AW150" i="7"/>
  <c r="AW149" i="7"/>
  <c r="AW148" i="7"/>
  <c r="AW147" i="7"/>
  <c r="AW146" i="7"/>
  <c r="AW145" i="7"/>
  <c r="AW144" i="7"/>
  <c r="AW143" i="7"/>
  <c r="AW142" i="7"/>
  <c r="AW141" i="7"/>
  <c r="AW140" i="7"/>
  <c r="AW139" i="7"/>
  <c r="AW136" i="7"/>
  <c r="AW135" i="7"/>
  <c r="AW134" i="7"/>
  <c r="AW133" i="7"/>
  <c r="AW132" i="7"/>
  <c r="AW131" i="7"/>
  <c r="AW130" i="7"/>
  <c r="AW129" i="7"/>
  <c r="AW128" i="7"/>
  <c r="AW127" i="7"/>
  <c r="AW126" i="7"/>
  <c r="AW125" i="7"/>
  <c r="AW124" i="7"/>
  <c r="AW123" i="7"/>
  <c r="AW122" i="7"/>
  <c r="AW121" i="7"/>
  <c r="AW120" i="7"/>
  <c r="AW119" i="7"/>
  <c r="AW118" i="7"/>
  <c r="AW117" i="7"/>
  <c r="AW116" i="7"/>
  <c r="AW115" i="7"/>
  <c r="AW114" i="7"/>
  <c r="AW113" i="7"/>
  <c r="DB113" i="7" s="1"/>
  <c r="AW112" i="7"/>
  <c r="DB112" i="7" s="1"/>
  <c r="AW111" i="7"/>
  <c r="DB111" i="7" s="1"/>
  <c r="AW110" i="7"/>
  <c r="DB110" i="7" s="1"/>
  <c r="AW109" i="7"/>
  <c r="DB109" i="7" s="1"/>
  <c r="AW108" i="7"/>
  <c r="DB108" i="7" s="1"/>
  <c r="AW107" i="7"/>
  <c r="DB107" i="7" s="1"/>
  <c r="AW105" i="7"/>
  <c r="DB105" i="7" s="1"/>
  <c r="AW104" i="7"/>
  <c r="DB104" i="7" s="1"/>
  <c r="AW103" i="7"/>
  <c r="DB103" i="7" s="1"/>
  <c r="AP273" i="7"/>
  <c r="AP272" i="7"/>
  <c r="AP271" i="7"/>
  <c r="AP270" i="7"/>
  <c r="AP269" i="7"/>
  <c r="AP268" i="7"/>
  <c r="AP263" i="7"/>
  <c r="AP262" i="7"/>
  <c r="AP261" i="7"/>
  <c r="AP260" i="7"/>
  <c r="AP236" i="7"/>
  <c r="AP203" i="7"/>
  <c r="AP158" i="7"/>
  <c r="AP136" i="7"/>
  <c r="AP135" i="7"/>
  <c r="AP134" i="7"/>
  <c r="AP133" i="7"/>
  <c r="AP132" i="7"/>
  <c r="AP131" i="7"/>
  <c r="AP130" i="7"/>
  <c r="AP129" i="7"/>
  <c r="AP128" i="7"/>
  <c r="AP127" i="7"/>
  <c r="AP126" i="7"/>
  <c r="AP125" i="7"/>
  <c r="AP124" i="7"/>
  <c r="AP123" i="7"/>
  <c r="AP122" i="7"/>
  <c r="AP121" i="7"/>
  <c r="AP120" i="7"/>
  <c r="AP119" i="7"/>
  <c r="AP118" i="7"/>
  <c r="AP117" i="7"/>
  <c r="AP116" i="7"/>
  <c r="AP115" i="7"/>
  <c r="AP114" i="7"/>
  <c r="AP112" i="7"/>
  <c r="AP111" i="7"/>
  <c r="AP110" i="7"/>
  <c r="AP109" i="7"/>
  <c r="AP105" i="7"/>
  <c r="AP104" i="7"/>
  <c r="AO273" i="7"/>
  <c r="AO272" i="7"/>
  <c r="AO271" i="7"/>
  <c r="AO270" i="7"/>
  <c r="AO269" i="7"/>
  <c r="AO268" i="7"/>
  <c r="AO263" i="7"/>
  <c r="AO262" i="7"/>
  <c r="AO261" i="7"/>
  <c r="AO260" i="7"/>
  <c r="AO236" i="7"/>
  <c r="AO203" i="7"/>
  <c r="AO158" i="7"/>
  <c r="AO136" i="7"/>
  <c r="AO135" i="7"/>
  <c r="AO134" i="7"/>
  <c r="AO133" i="7"/>
  <c r="AO132" i="7"/>
  <c r="AO131" i="7"/>
  <c r="AO130" i="7"/>
  <c r="AO129" i="7"/>
  <c r="AO128" i="7"/>
  <c r="AO127" i="7"/>
  <c r="AO126" i="7"/>
  <c r="AO125" i="7"/>
  <c r="AO124" i="7"/>
  <c r="AO123" i="7"/>
  <c r="AO122" i="7"/>
  <c r="AO121" i="7"/>
  <c r="AO120" i="7"/>
  <c r="AO119" i="7"/>
  <c r="AO118" i="7"/>
  <c r="AO117" i="7"/>
  <c r="AO116" i="7"/>
  <c r="AO115" i="7"/>
  <c r="AO114" i="7"/>
  <c r="AO112" i="7"/>
  <c r="AO111" i="7"/>
  <c r="AO110" i="7"/>
  <c r="AO109" i="7"/>
  <c r="AO105" i="7"/>
  <c r="AO104" i="7"/>
  <c r="AN273" i="7"/>
  <c r="DB273" i="7" s="1"/>
  <c r="AN272" i="7"/>
  <c r="DB272" i="7" s="1"/>
  <c r="AN271" i="7"/>
  <c r="DB271" i="7" s="1"/>
  <c r="AN270" i="7"/>
  <c r="DB270" i="7" s="1"/>
  <c r="AN269" i="7"/>
  <c r="DB269" i="7" s="1"/>
  <c r="AN268" i="7"/>
  <c r="DB268" i="7" s="1"/>
  <c r="AN267" i="7"/>
  <c r="DB267" i="7" s="1"/>
  <c r="AN266" i="7"/>
  <c r="DB266" i="7" s="1"/>
  <c r="AN265" i="7"/>
  <c r="DB265" i="7" s="1"/>
  <c r="AN263" i="7"/>
  <c r="DB263" i="7" s="1"/>
  <c r="AN262" i="7"/>
  <c r="DB262" i="7" s="1"/>
  <c r="AN261" i="7"/>
  <c r="DB261" i="7" s="1"/>
  <c r="AN260" i="7"/>
  <c r="DB260" i="7" s="1"/>
  <c r="AN259" i="7"/>
  <c r="DB259" i="7" s="1"/>
  <c r="AN258" i="7"/>
  <c r="DB258" i="7" s="1"/>
  <c r="AN257" i="7"/>
  <c r="DB257" i="7" s="1"/>
  <c r="AN256" i="7"/>
  <c r="DB256" i="7" s="1"/>
  <c r="AN255" i="7"/>
  <c r="DB255" i="7" s="1"/>
  <c r="AN254" i="7"/>
  <c r="DB254" i="7" s="1"/>
  <c r="AN253" i="7"/>
  <c r="DB253" i="7" s="1"/>
  <c r="AN252" i="7"/>
  <c r="DB252" i="7" s="1"/>
  <c r="AN251" i="7"/>
  <c r="DB251" i="7" s="1"/>
  <c r="AN250" i="7"/>
  <c r="DB250" i="7" s="1"/>
  <c r="AN249" i="7"/>
  <c r="DB249" i="7" s="1"/>
  <c r="AN248" i="7"/>
  <c r="DB248" i="7" s="1"/>
  <c r="AN247" i="7"/>
  <c r="DB247" i="7" s="1"/>
  <c r="AN246" i="7"/>
  <c r="DB246" i="7" s="1"/>
  <c r="AN245" i="7"/>
  <c r="DB245" i="7" s="1"/>
  <c r="AN244" i="7"/>
  <c r="DB244" i="7" s="1"/>
  <c r="AN243" i="7"/>
  <c r="DB243" i="7" s="1"/>
  <c r="AN242" i="7"/>
  <c r="DB242" i="7" s="1"/>
  <c r="AN241" i="7"/>
  <c r="DB241" i="7" s="1"/>
  <c r="AN240" i="7"/>
  <c r="DB240" i="7" s="1"/>
  <c r="AN239" i="7"/>
  <c r="DB239" i="7" s="1"/>
  <c r="AN238" i="7"/>
  <c r="DB238" i="7" s="1"/>
  <c r="AN237" i="7"/>
  <c r="DB237" i="7" s="1"/>
  <c r="AN236" i="7"/>
  <c r="DB236" i="7" s="1"/>
  <c r="AN235" i="7"/>
  <c r="DB235" i="7" s="1"/>
  <c r="AN226" i="7"/>
  <c r="DB226" i="7" s="1"/>
  <c r="AN225" i="7"/>
  <c r="DB225" i="7" s="1"/>
  <c r="AN224" i="7"/>
  <c r="DB224" i="7" s="1"/>
  <c r="AN222" i="7"/>
  <c r="DB222" i="7" s="1"/>
  <c r="AN221" i="7"/>
  <c r="DB221" i="7" s="1"/>
  <c r="AN220" i="7"/>
  <c r="DB220" i="7" s="1"/>
  <c r="AN219" i="7"/>
  <c r="DB219" i="7" s="1"/>
  <c r="AN218" i="7"/>
  <c r="DB218" i="7" s="1"/>
  <c r="AN217" i="7"/>
  <c r="DB217" i="7" s="1"/>
  <c r="AN216" i="7"/>
  <c r="DB216" i="7" s="1"/>
  <c r="AN215" i="7"/>
  <c r="DB215" i="7" s="1"/>
  <c r="AN214" i="7"/>
  <c r="DB214" i="7" s="1"/>
  <c r="AN213" i="7"/>
  <c r="DB213" i="7" s="1"/>
  <c r="AN212" i="7"/>
  <c r="DB212" i="7" s="1"/>
  <c r="AN211" i="7"/>
  <c r="DB211" i="7" s="1"/>
  <c r="AN210" i="7"/>
  <c r="DB210" i="7" s="1"/>
  <c r="AN209" i="7"/>
  <c r="DB209" i="7" s="1"/>
  <c r="AN208" i="7"/>
  <c r="DB208" i="7" s="1"/>
  <c r="AN207" i="7"/>
  <c r="DB207" i="7" s="1"/>
  <c r="AN206" i="7"/>
  <c r="DB206" i="7" s="1"/>
  <c r="AN205" i="7"/>
  <c r="DB205" i="7" s="1"/>
  <c r="AN204" i="7"/>
  <c r="DB204" i="7" s="1"/>
  <c r="AN203" i="7"/>
  <c r="DB203" i="7" s="1"/>
  <c r="AN202" i="7"/>
  <c r="DB202" i="7" s="1"/>
  <c r="AN193" i="7"/>
  <c r="DB193" i="7" s="1"/>
  <c r="AN192" i="7"/>
  <c r="DB192" i="7" s="1"/>
  <c r="AN191" i="7"/>
  <c r="DB191" i="7" s="1"/>
  <c r="AN189" i="7"/>
  <c r="DB189" i="7" s="1"/>
  <c r="AN188" i="7"/>
  <c r="DB188" i="7" s="1"/>
  <c r="AN187" i="7"/>
  <c r="DB187" i="7" s="1"/>
  <c r="AN186" i="7"/>
  <c r="DB186" i="7" s="1"/>
  <c r="AN185" i="7"/>
  <c r="DB185" i="7" s="1"/>
  <c r="AN184" i="7"/>
  <c r="DB184" i="7" s="1"/>
  <c r="AN183" i="7"/>
  <c r="DB183" i="7" s="1"/>
  <c r="AN182" i="7"/>
  <c r="DB182" i="7" s="1"/>
  <c r="AN181" i="7"/>
  <c r="DB181" i="7" s="1"/>
  <c r="AN180" i="7"/>
  <c r="DB180" i="7" s="1"/>
  <c r="AN179" i="7"/>
  <c r="DB179" i="7" s="1"/>
  <c r="AN178" i="7"/>
  <c r="DB178" i="7" s="1"/>
  <c r="AN177" i="7"/>
  <c r="DB177" i="7" s="1"/>
  <c r="AN176" i="7"/>
  <c r="DB176" i="7" s="1"/>
  <c r="AN175" i="7"/>
  <c r="DB175" i="7" s="1"/>
  <c r="AN174" i="7"/>
  <c r="DB174" i="7" s="1"/>
  <c r="AN173" i="7"/>
  <c r="DB173" i="7" s="1"/>
  <c r="AN172" i="7"/>
  <c r="DB172" i="7" s="1"/>
  <c r="AN171" i="7"/>
  <c r="DB171" i="7" s="1"/>
  <c r="AN170" i="7"/>
  <c r="DB170" i="7" s="1"/>
  <c r="AN169" i="7"/>
  <c r="DB169" i="7" s="1"/>
  <c r="AN168" i="7"/>
  <c r="DB168" i="7" s="1"/>
  <c r="AN167" i="7"/>
  <c r="DB167" i="7" s="1"/>
  <c r="AN166" i="7"/>
  <c r="DB166" i="7" s="1"/>
  <c r="AN165" i="7"/>
  <c r="DB165" i="7" s="1"/>
  <c r="AN164" i="7"/>
  <c r="DB164" i="7" s="1"/>
  <c r="AN163" i="7"/>
  <c r="DB163" i="7" s="1"/>
  <c r="AN162" i="7"/>
  <c r="DB162" i="7" s="1"/>
  <c r="AN161" i="7"/>
  <c r="DB161" i="7" s="1"/>
  <c r="AN160" i="7"/>
  <c r="DB160" i="7" s="1"/>
  <c r="AN159" i="7"/>
  <c r="DB159" i="7" s="1"/>
  <c r="AN158" i="7"/>
  <c r="DB158" i="7" s="1"/>
  <c r="AN157" i="7"/>
  <c r="DB157" i="7" s="1"/>
  <c r="AN148" i="7"/>
  <c r="DB148" i="7" s="1"/>
  <c r="AN147" i="7"/>
  <c r="DB147" i="7" s="1"/>
  <c r="AN146" i="7"/>
  <c r="DB146" i="7" s="1"/>
  <c r="AN144" i="7"/>
  <c r="DB144" i="7" s="1"/>
  <c r="AN143" i="7"/>
  <c r="DB143" i="7" s="1"/>
  <c r="AN142" i="7"/>
  <c r="DB142" i="7" s="1"/>
  <c r="AN141" i="7"/>
  <c r="DB141" i="7" s="1"/>
  <c r="AN140" i="7"/>
  <c r="DB140" i="7" s="1"/>
  <c r="AN139" i="7"/>
  <c r="DB139" i="7" s="1"/>
  <c r="AN136" i="7"/>
  <c r="AN135" i="7"/>
  <c r="AN134" i="7"/>
  <c r="AN133" i="7"/>
  <c r="AN132" i="7"/>
  <c r="AN131" i="7"/>
  <c r="AN130" i="7"/>
  <c r="AN129" i="7"/>
  <c r="AN128" i="7"/>
  <c r="AN127" i="7"/>
  <c r="AN126" i="7"/>
  <c r="AN125" i="7"/>
  <c r="AN124" i="7"/>
  <c r="AN123" i="7"/>
  <c r="AN122" i="7"/>
  <c r="AN121" i="7"/>
  <c r="AN120" i="7"/>
  <c r="AN119" i="7"/>
  <c r="AN118" i="7"/>
  <c r="AN117" i="7"/>
  <c r="AN116" i="7"/>
  <c r="AN115" i="7"/>
  <c r="AN114" i="7"/>
  <c r="AN113" i="7"/>
  <c r="AN112" i="7"/>
  <c r="AN111" i="7"/>
  <c r="AN110" i="7"/>
  <c r="AN109" i="7"/>
  <c r="AN108" i="7"/>
  <c r="AN107" i="7"/>
  <c r="AN105" i="7"/>
  <c r="AN104" i="7"/>
  <c r="AN103" i="7"/>
  <c r="Z276" i="7"/>
  <c r="Z275" i="7"/>
  <c r="Z274" i="7"/>
  <c r="AJ274" i="7" s="1"/>
  <c r="Z273" i="7"/>
  <c r="AJ273" i="7" s="1"/>
  <c r="Z272" i="7"/>
  <c r="AJ272" i="7" s="1"/>
  <c r="Z271" i="7"/>
  <c r="AJ271" i="7" s="1"/>
  <c r="Z270" i="7"/>
  <c r="AJ270" i="7" s="1"/>
  <c r="Z269" i="7"/>
  <c r="AJ269" i="7" s="1"/>
  <c r="Z268" i="7"/>
  <c r="AJ268" i="7" s="1"/>
  <c r="Z267" i="7"/>
  <c r="AJ267" i="7" s="1"/>
  <c r="Z266" i="7"/>
  <c r="AJ266" i="7" s="1"/>
  <c r="Z265" i="7"/>
  <c r="AJ265" i="7" s="1"/>
  <c r="Z264" i="7"/>
  <c r="AJ264" i="7" s="1"/>
  <c r="Z263" i="7"/>
  <c r="Z262" i="7"/>
  <c r="Z261" i="7"/>
  <c r="Z260" i="7"/>
  <c r="Z259" i="7"/>
  <c r="AJ259" i="7" s="1"/>
  <c r="Z258" i="7"/>
  <c r="AJ258" i="7" s="1"/>
  <c r="Z257" i="7"/>
  <c r="AJ257" i="7" s="1"/>
  <c r="Z256" i="7"/>
  <c r="AJ256" i="7" s="1"/>
  <c r="Z255" i="7"/>
  <c r="AJ255" i="7" s="1"/>
  <c r="Z254" i="7"/>
  <c r="AJ254" i="7" s="1"/>
  <c r="Z253" i="7"/>
  <c r="AJ253" i="7" s="1"/>
  <c r="Z252" i="7"/>
  <c r="AJ252" i="7" s="1"/>
  <c r="Z251" i="7"/>
  <c r="AJ251" i="7" s="1"/>
  <c r="Z250" i="7"/>
  <c r="AJ250" i="7" s="1"/>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AJ138" i="7" s="1"/>
  <c r="Z137" i="7"/>
  <c r="AJ137" i="7" s="1"/>
  <c r="Z136" i="7"/>
  <c r="Z135" i="7"/>
  <c r="Z134" i="7"/>
  <c r="Z133" i="7"/>
  <c r="Z132" i="7"/>
  <c r="Z131" i="7"/>
  <c r="Z130" i="7"/>
  <c r="Z129" i="7"/>
  <c r="Z128" i="7"/>
  <c r="Z127" i="7"/>
  <c r="Z126" i="7"/>
  <c r="Z125" i="7"/>
  <c r="Z124" i="7"/>
  <c r="Z123" i="7"/>
  <c r="Z122" i="7"/>
  <c r="Z121" i="7"/>
  <c r="Z120" i="7"/>
  <c r="Z119" i="7"/>
  <c r="Z118" i="7"/>
  <c r="Z117" i="7"/>
  <c r="Z116" i="7"/>
  <c r="Z115" i="7"/>
  <c r="Z114" i="7"/>
  <c r="Z113" i="7"/>
  <c r="AJ113" i="7" s="1"/>
  <c r="Z112" i="7"/>
  <c r="Z111" i="7"/>
  <c r="Z110" i="7"/>
  <c r="Z109" i="7"/>
  <c r="Z108" i="7"/>
  <c r="Z107" i="7"/>
  <c r="Z106" i="7"/>
  <c r="Z105" i="7"/>
  <c r="Z104" i="7"/>
  <c r="Z103" i="7"/>
  <c r="Z102" i="7"/>
  <c r="AJ102" i="7" s="1"/>
  <c r="Z101" i="7"/>
  <c r="AJ101" i="7" s="1"/>
  <c r="AM273" i="7"/>
  <c r="AM272" i="7"/>
  <c r="AM271" i="7"/>
  <c r="AM270" i="7"/>
  <c r="AM269" i="7"/>
  <c r="AM268" i="7"/>
  <c r="AM263" i="7"/>
  <c r="AM262" i="7"/>
  <c r="AM261" i="7"/>
  <c r="AM260" i="7"/>
  <c r="AM259" i="7"/>
  <c r="AM258" i="7"/>
  <c r="AM257" i="7"/>
  <c r="AM256" i="7"/>
  <c r="AM255" i="7"/>
  <c r="AM254" i="7"/>
  <c r="AM253" i="7"/>
  <c r="AM252" i="7"/>
  <c r="AM251" i="7"/>
  <c r="AM250" i="7"/>
  <c r="AM249" i="7"/>
  <c r="AM248" i="7"/>
  <c r="AM247" i="7"/>
  <c r="AM246" i="7"/>
  <c r="AM245" i="7"/>
  <c r="AM244" i="7"/>
  <c r="AM243" i="7"/>
  <c r="AM242" i="7"/>
  <c r="AM241" i="7"/>
  <c r="AM240" i="7"/>
  <c r="AM239" i="7"/>
  <c r="AM238" i="7"/>
  <c r="AM237" i="7"/>
  <c r="AM236" i="7"/>
  <c r="AM235" i="7"/>
  <c r="AM226" i="7"/>
  <c r="AM225" i="7"/>
  <c r="AM224" i="7"/>
  <c r="AM222" i="7"/>
  <c r="AM221" i="7"/>
  <c r="AM220" i="7"/>
  <c r="AM219" i="7"/>
  <c r="AM218" i="7"/>
  <c r="AM217" i="7"/>
  <c r="AM216" i="7"/>
  <c r="AM215" i="7"/>
  <c r="AM214" i="7"/>
  <c r="AM213" i="7"/>
  <c r="AM212" i="7"/>
  <c r="AM211" i="7"/>
  <c r="AM210" i="7"/>
  <c r="AM209" i="7"/>
  <c r="AM208" i="7"/>
  <c r="AM207" i="7"/>
  <c r="AM206" i="7"/>
  <c r="AM205" i="7"/>
  <c r="AM204" i="7"/>
  <c r="AM203" i="7"/>
  <c r="AM202" i="7"/>
  <c r="AM193" i="7"/>
  <c r="AM192" i="7"/>
  <c r="AM191" i="7"/>
  <c r="AM189" i="7"/>
  <c r="AM188" i="7"/>
  <c r="AM187" i="7"/>
  <c r="AM186" i="7"/>
  <c r="AM185" i="7"/>
  <c r="AM184" i="7"/>
  <c r="AM183" i="7"/>
  <c r="AM182" i="7"/>
  <c r="AM181" i="7"/>
  <c r="AM180" i="7"/>
  <c r="AM179" i="7"/>
  <c r="AM178" i="7"/>
  <c r="AM177" i="7"/>
  <c r="AM176" i="7"/>
  <c r="AM175" i="7"/>
  <c r="AM174" i="7"/>
  <c r="AM173" i="7"/>
  <c r="AM172" i="7"/>
  <c r="AM171" i="7"/>
  <c r="AM170" i="7"/>
  <c r="AM169" i="7"/>
  <c r="AM168" i="7"/>
  <c r="AM167" i="7"/>
  <c r="AM166" i="7"/>
  <c r="AM165" i="7"/>
  <c r="AM164" i="7"/>
  <c r="AM163" i="7"/>
  <c r="AM162" i="7"/>
  <c r="AM161" i="7"/>
  <c r="AM160" i="7"/>
  <c r="AM159" i="7"/>
  <c r="AM158" i="7"/>
  <c r="AM157" i="7"/>
  <c r="AM148" i="7"/>
  <c r="AM147" i="7"/>
  <c r="AM146" i="7"/>
  <c r="AM144" i="7"/>
  <c r="AM143" i="7"/>
  <c r="AM142" i="7"/>
  <c r="AM141" i="7"/>
  <c r="AM140" i="7"/>
  <c r="AM139" i="7"/>
  <c r="AM136" i="7"/>
  <c r="AM135" i="7"/>
  <c r="AM134" i="7"/>
  <c r="AM133" i="7"/>
  <c r="AM132" i="7"/>
  <c r="AM131" i="7"/>
  <c r="AM130" i="7"/>
  <c r="AM129" i="7"/>
  <c r="AM128" i="7"/>
  <c r="AM127" i="7"/>
  <c r="AM126" i="7"/>
  <c r="AM125" i="7"/>
  <c r="AM124" i="7"/>
  <c r="AM123" i="7"/>
  <c r="AM122" i="7"/>
  <c r="AM121" i="7"/>
  <c r="AM120" i="7"/>
  <c r="AM119" i="7"/>
  <c r="AM118" i="7"/>
  <c r="AM117" i="7"/>
  <c r="AM116" i="7"/>
  <c r="AM115" i="7"/>
  <c r="AM114" i="7"/>
  <c r="AM113" i="7"/>
  <c r="AM112" i="7"/>
  <c r="AM111" i="7"/>
  <c r="AM110" i="7"/>
  <c r="AM109" i="7"/>
  <c r="AM108" i="7"/>
  <c r="AM107" i="7"/>
  <c r="AM105" i="7"/>
  <c r="AM104" i="7"/>
  <c r="AM103" i="7"/>
  <c r="AP98" i="25" l="1"/>
  <c r="AP110" i="25"/>
  <c r="R295" i="25" s="1"/>
  <c r="AP122" i="25"/>
  <c r="R296" i="25" s="1"/>
  <c r="AP134" i="25"/>
  <c r="R297" i="25" s="1"/>
  <c r="AP111" i="25"/>
  <c r="R305" i="25" s="1"/>
  <c r="AP99" i="25"/>
  <c r="R304" i="25" s="1"/>
  <c r="AP123" i="25"/>
  <c r="R306" i="25" s="1"/>
  <c r="AP135" i="25"/>
  <c r="R307" i="25" s="1"/>
  <c r="AP92" i="25"/>
  <c r="AP104" i="25"/>
  <c r="AP116" i="25"/>
  <c r="AP128" i="25"/>
  <c r="AP100" i="25"/>
  <c r="R314" i="25" s="1"/>
  <c r="AP112" i="25"/>
  <c r="R315" i="25" s="1"/>
  <c r="AP124" i="25"/>
  <c r="R316" i="25" s="1"/>
  <c r="AP136" i="25"/>
  <c r="R317" i="25" s="1"/>
  <c r="AP93" i="25"/>
  <c r="AP105" i="25"/>
  <c r="AP117" i="25"/>
  <c r="AP129" i="25"/>
  <c r="AP101" i="25"/>
  <c r="R324" i="25" s="1"/>
  <c r="AP113" i="25"/>
  <c r="R325" i="25" s="1"/>
  <c r="AP125" i="25"/>
  <c r="R326" i="25" s="1"/>
  <c r="AP137" i="25"/>
  <c r="R327" i="25" s="1"/>
  <c r="AP94" i="25"/>
  <c r="AP106" i="25"/>
  <c r="R245" i="25" s="1"/>
  <c r="AP118" i="25"/>
  <c r="R246" i="25" s="1"/>
  <c r="AP130" i="25"/>
  <c r="R247" i="25" s="1"/>
  <c r="AP114" i="25"/>
  <c r="R335" i="25" s="1"/>
  <c r="AP102" i="25"/>
  <c r="R334" i="25" s="1"/>
  <c r="AP126" i="25"/>
  <c r="R336" i="25" s="1"/>
  <c r="AP138" i="25"/>
  <c r="R337" i="25" s="1"/>
  <c r="AP95" i="25"/>
  <c r="AP107" i="25"/>
  <c r="R255" i="25" s="1"/>
  <c r="AP119" i="25"/>
  <c r="R256" i="25" s="1"/>
  <c r="AP131" i="25"/>
  <c r="R257" i="25" s="1"/>
  <c r="AP103" i="25"/>
  <c r="R344" i="25" s="1"/>
  <c r="AP115" i="25"/>
  <c r="R345" i="25" s="1"/>
  <c r="AP127" i="25"/>
  <c r="R346" i="25" s="1"/>
  <c r="AP139" i="25"/>
  <c r="R347" i="25" s="1"/>
  <c r="AP96" i="25"/>
  <c r="AP108" i="25"/>
  <c r="R265" i="25" s="1"/>
  <c r="AP120" i="25"/>
  <c r="R266" i="25" s="1"/>
  <c r="AP132" i="25"/>
  <c r="R267" i="25" s="1"/>
  <c r="AP97" i="25"/>
  <c r="AP109" i="25"/>
  <c r="R275" i="25" s="1"/>
  <c r="AP121" i="25"/>
  <c r="R276" i="25" s="1"/>
  <c r="AP133" i="25"/>
  <c r="R277" i="25" s="1"/>
  <c r="Y101" i="7"/>
  <c r="R274" i="25" l="1"/>
  <c r="R264" i="25"/>
  <c r="R254" i="25"/>
  <c r="R244" i="25"/>
  <c r="R294" i="25"/>
  <c r="R237" i="25"/>
  <c r="R236" i="25"/>
  <c r="R235" i="25"/>
  <c r="R234" i="25"/>
  <c r="N69" i="24"/>
  <c r="M69" i="24"/>
  <c r="N68" i="24"/>
  <c r="M68" i="24"/>
  <c r="N67" i="24"/>
  <c r="M67" i="24"/>
  <c r="N66" i="24"/>
  <c r="M66" i="24"/>
  <c r="O65" i="24"/>
  <c r="N65" i="24"/>
  <c r="M65" i="24"/>
  <c r="N124" i="24"/>
  <c r="N123" i="24"/>
  <c r="N122" i="24"/>
  <c r="N121" i="24"/>
  <c r="N120" i="24"/>
  <c r="N119" i="24"/>
  <c r="N118" i="24"/>
  <c r="M117" i="24"/>
  <c r="M124" i="24"/>
  <c r="M121" i="24"/>
  <c r="M120" i="24"/>
  <c r="M119" i="24"/>
  <c r="M118" i="24"/>
  <c r="O116" i="24"/>
  <c r="N116" i="24"/>
  <c r="M116" i="24"/>
  <c r="N115" i="24"/>
  <c r="M115" i="24"/>
  <c r="N114" i="24"/>
  <c r="M114" i="24"/>
  <c r="N113" i="24"/>
  <c r="M113" i="24"/>
  <c r="N112" i="24"/>
  <c r="M112" i="24"/>
  <c r="N111" i="24"/>
  <c r="M111" i="24"/>
  <c r="O110" i="24"/>
  <c r="N110" i="24"/>
  <c r="M110" i="24"/>
  <c r="M123" i="24" l="1"/>
  <c r="M122" i="24"/>
  <c r="N117" i="24"/>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4" i="7"/>
  <c r="Y243" i="7"/>
  <c r="Y242" i="7"/>
  <c r="Y241" i="7"/>
  <c r="Y240" i="7"/>
  <c r="Y239" i="7"/>
  <c r="Y238" i="7"/>
  <c r="Y237" i="7"/>
  <c r="Y236" i="7"/>
  <c r="Y235" i="7"/>
  <c r="Y234" i="7"/>
  <c r="Y233" i="7"/>
  <c r="Y232" i="7"/>
  <c r="Y231" i="7"/>
  <c r="Y230" i="7"/>
  <c r="Y229"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N129" i="24"/>
  <c r="N128" i="24"/>
  <c r="N126" i="24"/>
  <c r="N130" i="24"/>
  <c r="M130" i="24"/>
  <c r="M129" i="24"/>
  <c r="M128" i="24"/>
  <c r="N127" i="24"/>
  <c r="M127" i="24"/>
  <c r="M126" i="24"/>
  <c r="O125" i="24"/>
  <c r="O124" i="24" s="1"/>
  <c r="O123" i="24" s="1"/>
  <c r="O122" i="24" s="1"/>
  <c r="O121" i="24" s="1"/>
  <c r="O120" i="24" s="1"/>
  <c r="O119" i="24" s="1"/>
  <c r="O118" i="24" s="1"/>
  <c r="N125" i="24"/>
  <c r="M125" i="24"/>
  <c r="O115" i="24" l="1"/>
  <c r="O114" i="24" s="1"/>
  <c r="O113" i="24" s="1"/>
  <c r="O112" i="24" s="1"/>
  <c r="O111" i="24" s="1"/>
  <c r="O453" i="24"/>
  <c r="O452" i="24" s="1"/>
  <c r="O451" i="24" s="1"/>
  <c r="O450" i="24" s="1"/>
  <c r="O449" i="24" s="1"/>
  <c r="O448" i="24" s="1"/>
  <c r="O447" i="24" s="1"/>
  <c r="O446" i="24" s="1"/>
  <c r="O445" i="24" s="1"/>
  <c r="O444" i="24" s="1"/>
  <c r="O443" i="24" s="1"/>
  <c r="O442" i="24" s="1"/>
  <c r="O441" i="24" s="1"/>
  <c r="O440" i="24" s="1"/>
  <c r="O439" i="24" s="1"/>
  <c r="O438" i="24" s="1"/>
  <c r="O437" i="24" s="1"/>
  <c r="O436" i="24" s="1"/>
  <c r="N453" i="24"/>
  <c r="M453" i="24"/>
  <c r="N452" i="24"/>
  <c r="M452" i="24"/>
  <c r="N451" i="24"/>
  <c r="M451" i="24"/>
  <c r="N450" i="24"/>
  <c r="M450" i="24"/>
  <c r="N449" i="24"/>
  <c r="M449" i="24"/>
  <c r="N448" i="24"/>
  <c r="M448" i="24"/>
  <c r="N447" i="24"/>
  <c r="M447" i="24"/>
  <c r="N446" i="24"/>
  <c r="M446" i="24"/>
  <c r="N445" i="24"/>
  <c r="M445" i="24"/>
  <c r="N444" i="24"/>
  <c r="M444" i="24"/>
  <c r="N443" i="24"/>
  <c r="M443" i="24"/>
  <c r="N442" i="24"/>
  <c r="M442" i="24"/>
  <c r="N441" i="24"/>
  <c r="M441" i="24"/>
  <c r="N440" i="24"/>
  <c r="M440" i="24"/>
  <c r="N439" i="24"/>
  <c r="M439" i="24"/>
  <c r="N438" i="24"/>
  <c r="M438" i="24"/>
  <c r="N437" i="24"/>
  <c r="M437" i="24"/>
  <c r="N436" i="24"/>
  <c r="M436" i="24"/>
  <c r="O435" i="24"/>
  <c r="O434" i="24" s="1"/>
  <c r="O433" i="24" s="1"/>
  <c r="O432" i="24" s="1"/>
  <c r="N435" i="24"/>
  <c r="M435" i="24"/>
  <c r="N434" i="24"/>
  <c r="M434" i="24"/>
  <c r="N433" i="24"/>
  <c r="M433" i="24"/>
  <c r="N432" i="24"/>
  <c r="M432" i="24"/>
  <c r="O431" i="24"/>
  <c r="O430" i="24" s="1"/>
  <c r="O429" i="24" s="1"/>
  <c r="O428" i="24" s="1"/>
  <c r="O427" i="24" s="1"/>
  <c r="O426" i="24" s="1"/>
  <c r="N431" i="24"/>
  <c r="M431" i="24"/>
  <c r="N430" i="24"/>
  <c r="M430" i="24"/>
  <c r="N429" i="24"/>
  <c r="M429" i="24"/>
  <c r="N428" i="24"/>
  <c r="M428" i="24"/>
  <c r="N427" i="24"/>
  <c r="M427" i="24"/>
  <c r="N426" i="24"/>
  <c r="M426" i="24"/>
  <c r="O425" i="24"/>
  <c r="O424" i="24" s="1"/>
  <c r="O423" i="24" s="1"/>
  <c r="O422" i="24" s="1"/>
  <c r="N425" i="24"/>
  <c r="M425" i="24"/>
  <c r="N424" i="24"/>
  <c r="M424" i="24"/>
  <c r="N423" i="24"/>
  <c r="M423" i="24"/>
  <c r="N422" i="24"/>
  <c r="M422" i="24"/>
  <c r="O421" i="24"/>
  <c r="O420" i="24" s="1"/>
  <c r="O419" i="24" s="1"/>
  <c r="O418" i="24" s="1"/>
  <c r="O417" i="24" s="1"/>
  <c r="N421" i="24"/>
  <c r="M421" i="24"/>
  <c r="N420" i="24"/>
  <c r="M420" i="24"/>
  <c r="N419" i="24"/>
  <c r="M419" i="24"/>
  <c r="N418" i="24"/>
  <c r="M418" i="24"/>
  <c r="N417" i="24"/>
  <c r="M417" i="24"/>
  <c r="O416" i="24"/>
  <c r="N416" i="24"/>
  <c r="M416" i="24"/>
  <c r="O415" i="24"/>
  <c r="N415" i="24"/>
  <c r="M415" i="24"/>
  <c r="O414" i="24"/>
  <c r="N414" i="24"/>
  <c r="M414" i="24"/>
  <c r="O413" i="24"/>
  <c r="N413" i="24"/>
  <c r="M413" i="24"/>
  <c r="O412" i="24"/>
  <c r="O411" i="24" s="1"/>
  <c r="O410" i="24" s="1"/>
  <c r="N412" i="24"/>
  <c r="M412" i="24"/>
  <c r="N411" i="24"/>
  <c r="M411" i="24"/>
  <c r="N410" i="24"/>
  <c r="M410" i="24"/>
  <c r="O409" i="24"/>
  <c r="O408" i="24" s="1"/>
  <c r="O407" i="24" s="1"/>
  <c r="O406" i="24" s="1"/>
  <c r="N409" i="24"/>
  <c r="M409" i="24"/>
  <c r="N408" i="24"/>
  <c r="M408" i="24"/>
  <c r="N407" i="24"/>
  <c r="M407" i="24"/>
  <c r="N406" i="24"/>
  <c r="M406" i="24"/>
  <c r="O405" i="24"/>
  <c r="O404" i="24" s="1"/>
  <c r="O403" i="24" s="1"/>
  <c r="O402" i="24" s="1"/>
  <c r="N405" i="24"/>
  <c r="M405" i="24"/>
  <c r="N404" i="24"/>
  <c r="M404" i="24"/>
  <c r="N403" i="24"/>
  <c r="M403" i="24"/>
  <c r="N402" i="24"/>
  <c r="M402" i="24"/>
  <c r="O401" i="24"/>
  <c r="O400" i="24" s="1"/>
  <c r="O399" i="24" s="1"/>
  <c r="O398" i="24" s="1"/>
  <c r="O397" i="24" s="1"/>
  <c r="O396" i="24" s="1"/>
  <c r="O395" i="24" s="1"/>
  <c r="O394" i="24" s="1"/>
  <c r="N401" i="24"/>
  <c r="M401" i="24"/>
  <c r="N400" i="24"/>
  <c r="M400" i="24"/>
  <c r="N399" i="24"/>
  <c r="M399" i="24"/>
  <c r="N398" i="24"/>
  <c r="M398" i="24"/>
  <c r="N397" i="24"/>
  <c r="M397" i="24"/>
  <c r="N396" i="24"/>
  <c r="M396" i="24"/>
  <c r="N395" i="24"/>
  <c r="M395" i="24"/>
  <c r="N394" i="24"/>
  <c r="M394" i="24"/>
  <c r="O393" i="24"/>
  <c r="O392" i="24" s="1"/>
  <c r="O391" i="24" s="1"/>
  <c r="O390" i="24" s="1"/>
  <c r="O389" i="24" s="1"/>
  <c r="O388" i="24" s="1"/>
  <c r="O387" i="24" s="1"/>
  <c r="O386" i="24" s="1"/>
  <c r="O385" i="24" s="1"/>
  <c r="O384" i="24" s="1"/>
  <c r="O383" i="24" s="1"/>
  <c r="O382" i="24" s="1"/>
  <c r="O381" i="24" s="1"/>
  <c r="O380" i="24" s="1"/>
  <c r="O379" i="24" s="1"/>
  <c r="O378" i="24" s="1"/>
  <c r="O377" i="24" s="1"/>
  <c r="O376" i="24" s="1"/>
  <c r="O375" i="24" s="1"/>
  <c r="O374" i="24" s="1"/>
  <c r="O373" i="24" s="1"/>
  <c r="O372" i="24" s="1"/>
  <c r="O371" i="24" s="1"/>
  <c r="O370" i="24" s="1"/>
  <c r="O369" i="24" s="1"/>
  <c r="O368" i="24" s="1"/>
  <c r="O367" i="24" s="1"/>
  <c r="O366" i="24" s="1"/>
  <c r="O365" i="24" s="1"/>
  <c r="O364" i="24" s="1"/>
  <c r="O363" i="24" s="1"/>
  <c r="O362" i="24" s="1"/>
  <c r="O361" i="24" s="1"/>
  <c r="O360" i="24" s="1"/>
  <c r="O359" i="24" s="1"/>
  <c r="O358" i="24" s="1"/>
  <c r="O357" i="24" s="1"/>
  <c r="O356" i="24" s="1"/>
  <c r="O355" i="24" s="1"/>
  <c r="O354" i="24" s="1"/>
  <c r="O353" i="24" s="1"/>
  <c r="O352" i="24" s="1"/>
  <c r="O351" i="24" s="1"/>
  <c r="O350" i="24" s="1"/>
  <c r="O349" i="24" s="1"/>
  <c r="O348" i="24" s="1"/>
  <c r="O347" i="24" s="1"/>
  <c r="N393" i="24"/>
  <c r="M393" i="24"/>
  <c r="O346" i="24"/>
  <c r="O345" i="24" s="1"/>
  <c r="O344" i="24" s="1"/>
  <c r="O343" i="24" s="1"/>
  <c r="O342" i="24" s="1"/>
  <c r="O341" i="24" s="1"/>
  <c r="O340" i="24" s="1"/>
  <c r="O339" i="24" s="1"/>
  <c r="O338" i="24" s="1"/>
  <c r="O337" i="24" s="1"/>
  <c r="O336" i="24" s="1"/>
  <c r="O335" i="24" s="1"/>
  <c r="O334" i="24" s="1"/>
  <c r="O333" i="24" s="1"/>
  <c r="O332" i="24" s="1"/>
  <c r="O331" i="24" s="1"/>
  <c r="O330" i="24" s="1"/>
  <c r="O329" i="24" s="1"/>
  <c r="O328" i="24" s="1"/>
  <c r="O327" i="24" s="1"/>
  <c r="O326" i="24" s="1"/>
  <c r="O325" i="24" s="1"/>
  <c r="O324" i="24" s="1"/>
  <c r="O323" i="24" s="1"/>
  <c r="O322" i="24" s="1"/>
  <c r="O321" i="24" s="1"/>
  <c r="O320" i="24" s="1"/>
  <c r="O319" i="24" s="1"/>
  <c r="O318" i="24" s="1"/>
  <c r="O317" i="24" s="1"/>
  <c r="O316" i="24" s="1"/>
  <c r="O315" i="24" s="1"/>
  <c r="O314" i="24" s="1"/>
  <c r="O313" i="24" s="1"/>
  <c r="O312" i="24" s="1"/>
  <c r="O311" i="24" s="1"/>
  <c r="O310" i="24"/>
  <c r="O309" i="24" s="1"/>
  <c r="O308" i="24" s="1"/>
  <c r="O307" i="24" s="1"/>
  <c r="O306" i="24" s="1"/>
  <c r="O305" i="24" s="1"/>
  <c r="O304" i="24" s="1"/>
  <c r="O303" i="24" s="1"/>
  <c r="O302" i="24"/>
  <c r="O301" i="24"/>
  <c r="O300" i="24"/>
  <c r="O299" i="24"/>
  <c r="O298" i="24"/>
  <c r="O297" i="24"/>
  <c r="O296" i="24"/>
  <c r="O295" i="24"/>
  <c r="O294" i="24"/>
  <c r="O293" i="24"/>
  <c r="O292" i="24"/>
  <c r="O291" i="24" s="1"/>
  <c r="O290" i="24" s="1"/>
  <c r="O289" i="24" s="1"/>
  <c r="O288" i="24" s="1"/>
  <c r="O287" i="24" s="1"/>
  <c r="O286" i="24"/>
  <c r="O285" i="24" s="1"/>
  <c r="O284" i="24" s="1"/>
  <c r="O283" i="24" s="1"/>
  <c r="O282" i="24" s="1"/>
  <c r="N285" i="24"/>
  <c r="M285" i="24"/>
  <c r="N284" i="24"/>
  <c r="M284" i="24"/>
  <c r="N283" i="24"/>
  <c r="M283" i="24"/>
  <c r="N282" i="24"/>
  <c r="M282" i="24"/>
  <c r="O281" i="24"/>
  <c r="O280" i="24" s="1"/>
  <c r="O279" i="24" s="1"/>
  <c r="O278" i="24" s="1"/>
  <c r="O277" i="24" s="1"/>
  <c r="O276" i="24" s="1"/>
  <c r="O275" i="24" s="1"/>
  <c r="N281" i="24"/>
  <c r="M281" i="24"/>
  <c r="N280" i="24"/>
  <c r="M280" i="24"/>
  <c r="N279" i="24"/>
  <c r="M279" i="24"/>
  <c r="N278" i="24"/>
  <c r="M278" i="24"/>
  <c r="N277" i="24"/>
  <c r="M277" i="24"/>
  <c r="N276" i="24"/>
  <c r="M276" i="24"/>
  <c r="N275" i="24"/>
  <c r="M275" i="24"/>
  <c r="O274" i="24"/>
  <c r="O273" i="24" s="1"/>
  <c r="O272" i="24" s="1"/>
  <c r="O271" i="24" s="1"/>
  <c r="O270" i="24" s="1"/>
  <c r="N274" i="24"/>
  <c r="M274" i="24"/>
  <c r="O269" i="24"/>
  <c r="O268" i="24" s="1"/>
  <c r="O267" i="24" s="1"/>
  <c r="O266" i="24" s="1"/>
  <c r="O265" i="24" s="1"/>
  <c r="O264" i="24" s="1"/>
  <c r="O263" i="24" s="1"/>
  <c r="O262" i="24" s="1"/>
  <c r="O261" i="24" s="1"/>
  <c r="O260" i="24" s="1"/>
  <c r="O259" i="24" s="1"/>
  <c r="O258" i="24" s="1"/>
  <c r="O257" i="24" s="1"/>
  <c r="O256" i="24" s="1"/>
  <c r="O255" i="24"/>
  <c r="O254" i="24" s="1"/>
  <c r="O253" i="24" s="1"/>
  <c r="O252" i="24" s="1"/>
  <c r="O251" i="24" s="1"/>
  <c r="O250" i="24" s="1"/>
  <c r="O249" i="24" s="1"/>
  <c r="O248" i="24" s="1"/>
  <c r="O247" i="24" s="1"/>
  <c r="O246" i="24" s="1"/>
  <c r="O245" i="24" s="1"/>
  <c r="O244" i="24" s="1"/>
  <c r="O243" i="24" s="1"/>
  <c r="O242" i="24" s="1"/>
  <c r="O241" i="24" s="1"/>
  <c r="O240" i="24"/>
  <c r="O239" i="24" s="1"/>
  <c r="O238" i="24" s="1"/>
  <c r="O237" i="24" s="1"/>
  <c r="O236" i="24" s="1"/>
  <c r="N239" i="24"/>
  <c r="M239" i="24"/>
  <c r="N238" i="24"/>
  <c r="M238" i="24"/>
  <c r="N237" i="24"/>
  <c r="M237" i="24"/>
  <c r="N236" i="24"/>
  <c r="M236" i="24"/>
  <c r="O235" i="24"/>
  <c r="O234" i="24" s="1"/>
  <c r="O233" i="24" s="1"/>
  <c r="O232" i="24" s="1"/>
  <c r="O231" i="24" s="1"/>
  <c r="O230" i="24" s="1"/>
  <c r="N235" i="24"/>
  <c r="M235" i="24"/>
  <c r="N234" i="24"/>
  <c r="M234" i="24"/>
  <c r="N233" i="24"/>
  <c r="M233" i="24"/>
  <c r="N232" i="24"/>
  <c r="M232" i="24"/>
  <c r="N231" i="24"/>
  <c r="M231" i="24"/>
  <c r="N230" i="24"/>
  <c r="M230" i="24"/>
  <c r="O229" i="24"/>
  <c r="O228" i="24" s="1"/>
  <c r="O227" i="24" s="1"/>
  <c r="O226" i="24" s="1"/>
  <c r="O225" i="24" s="1"/>
  <c r="O224" i="24" s="1"/>
  <c r="N229" i="24"/>
  <c r="M229" i="24"/>
  <c r="N228" i="24"/>
  <c r="M228" i="24"/>
  <c r="N227" i="24"/>
  <c r="M227" i="24"/>
  <c r="N226" i="24"/>
  <c r="M226" i="24"/>
  <c r="N225" i="24"/>
  <c r="M225" i="24"/>
  <c r="N224" i="24"/>
  <c r="M224" i="24"/>
  <c r="O223" i="24"/>
  <c r="O222" i="24" s="1"/>
  <c r="O221" i="24" s="1"/>
  <c r="O220" i="24" s="1"/>
  <c r="O219" i="24" s="1"/>
  <c r="O218" i="24" s="1"/>
  <c r="O217" i="24" s="1"/>
  <c r="N223" i="24"/>
  <c r="M223" i="24"/>
  <c r="N222" i="24"/>
  <c r="M222" i="24"/>
  <c r="N221" i="24"/>
  <c r="M221" i="24"/>
  <c r="N220" i="24"/>
  <c r="M220" i="24"/>
  <c r="N219" i="24"/>
  <c r="M219" i="24"/>
  <c r="N218" i="24"/>
  <c r="M218" i="24"/>
  <c r="N217" i="24"/>
  <c r="M217" i="24"/>
  <c r="O216" i="24"/>
  <c r="O215" i="24" s="1"/>
  <c r="O214" i="24" s="1"/>
  <c r="O213" i="24" s="1"/>
  <c r="N216" i="24"/>
  <c r="M216" i="24"/>
  <c r="N215" i="24"/>
  <c r="M215" i="24"/>
  <c r="N214" i="24"/>
  <c r="M214" i="24"/>
  <c r="N213" i="24"/>
  <c r="M213" i="24"/>
  <c r="O212" i="24"/>
  <c r="O211" i="24" s="1"/>
  <c r="O210" i="24" s="1"/>
  <c r="O209" i="24" s="1"/>
  <c r="O208" i="24" s="1"/>
  <c r="O207" i="24" s="1"/>
  <c r="N212" i="24"/>
  <c r="M212" i="24"/>
  <c r="N211" i="24"/>
  <c r="M211" i="24"/>
  <c r="N210" i="24"/>
  <c r="M210" i="24"/>
  <c r="N209" i="24"/>
  <c r="M209" i="24"/>
  <c r="N208" i="24"/>
  <c r="M208" i="24"/>
  <c r="N207" i="24"/>
  <c r="M207" i="24"/>
  <c r="O206" i="24"/>
  <c r="O205" i="24" s="1"/>
  <c r="O204" i="24" s="1"/>
  <c r="O203" i="24" s="1"/>
  <c r="O202" i="24" s="1"/>
  <c r="O201" i="24" s="1"/>
  <c r="N206" i="24"/>
  <c r="M206" i="24"/>
  <c r="N205" i="24"/>
  <c r="M205" i="24"/>
  <c r="N204" i="24"/>
  <c r="M204" i="24"/>
  <c r="N203" i="24"/>
  <c r="M203" i="24"/>
  <c r="N202" i="24"/>
  <c r="M202" i="24"/>
  <c r="N201" i="24"/>
  <c r="M201" i="24"/>
  <c r="O200" i="24"/>
  <c r="O199" i="24" s="1"/>
  <c r="O198" i="24" s="1"/>
  <c r="O197" i="24" s="1"/>
  <c r="O196" i="24" s="1"/>
  <c r="O195" i="24" s="1"/>
  <c r="N200" i="24"/>
  <c r="M200" i="24"/>
  <c r="N199" i="24"/>
  <c r="M199" i="24"/>
  <c r="N198" i="24"/>
  <c r="M198" i="24"/>
  <c r="N197" i="24"/>
  <c r="M197" i="24"/>
  <c r="N196" i="24"/>
  <c r="M196" i="24"/>
  <c r="N195" i="24"/>
  <c r="M195" i="24"/>
  <c r="O194" i="24"/>
  <c r="O193" i="24" s="1"/>
  <c r="O192" i="24" s="1"/>
  <c r="O191" i="24" s="1"/>
  <c r="O190" i="24" s="1"/>
  <c r="O189" i="24" s="1"/>
  <c r="O188" i="24" s="1"/>
  <c r="N194" i="24"/>
  <c r="M194" i="24"/>
  <c r="N193" i="24"/>
  <c r="M193" i="24"/>
  <c r="N192" i="24"/>
  <c r="M192" i="24"/>
  <c r="N191" i="24"/>
  <c r="M191" i="24"/>
  <c r="N190" i="24"/>
  <c r="M190" i="24"/>
  <c r="N189" i="24"/>
  <c r="M189" i="24"/>
  <c r="N188" i="24"/>
  <c r="M188" i="24"/>
  <c r="O187" i="24"/>
  <c r="O186" i="24" s="1"/>
  <c r="O185" i="24" s="1"/>
  <c r="O184" i="24" s="1"/>
  <c r="O183" i="24" s="1"/>
  <c r="N187" i="24"/>
  <c r="M187" i="24"/>
  <c r="N186" i="24"/>
  <c r="M186" i="24"/>
  <c r="N185" i="24"/>
  <c r="M185" i="24"/>
  <c r="N184" i="24"/>
  <c r="M184" i="24"/>
  <c r="N183" i="24"/>
  <c r="M183" i="24"/>
  <c r="O182" i="24"/>
  <c r="O181" i="24" s="1"/>
  <c r="O180" i="24" s="1"/>
  <c r="O179" i="24" s="1"/>
  <c r="O178" i="24" s="1"/>
  <c r="N182" i="24"/>
  <c r="M182" i="24"/>
  <c r="N181" i="24"/>
  <c r="M181" i="24"/>
  <c r="N180" i="24"/>
  <c r="M180" i="24"/>
  <c r="N179" i="24"/>
  <c r="M179" i="24"/>
  <c r="N178" i="24"/>
  <c r="M178" i="24"/>
  <c r="O177" i="24"/>
  <c r="O176" i="24" s="1"/>
  <c r="O175" i="24" s="1"/>
  <c r="O174" i="24" s="1"/>
  <c r="O173" i="24" s="1"/>
  <c r="O172" i="24" s="1"/>
  <c r="N177" i="24"/>
  <c r="M177" i="24"/>
  <c r="N176" i="24"/>
  <c r="M176" i="24"/>
  <c r="N175" i="24"/>
  <c r="M175" i="24"/>
  <c r="N174" i="24"/>
  <c r="M174" i="24"/>
  <c r="N173" i="24"/>
  <c r="M173" i="24"/>
  <c r="N172" i="24"/>
  <c r="M172" i="24"/>
  <c r="O171" i="24"/>
  <c r="O170" i="24" s="1"/>
  <c r="O169" i="24" s="1"/>
  <c r="O168" i="24" s="1"/>
  <c r="O167" i="24" s="1"/>
  <c r="O166" i="24" s="1"/>
  <c r="N171" i="24"/>
  <c r="M171" i="24"/>
  <c r="N170" i="24"/>
  <c r="M170" i="24"/>
  <c r="N169" i="24"/>
  <c r="M169" i="24"/>
  <c r="N168" i="24"/>
  <c r="M168" i="24"/>
  <c r="N167" i="24"/>
  <c r="M167" i="24"/>
  <c r="N166" i="24"/>
  <c r="M166" i="24"/>
  <c r="O165" i="24"/>
  <c r="O164" i="24" s="1"/>
  <c r="O163" i="24" s="1"/>
  <c r="O162" i="24" s="1"/>
  <c r="O161" i="24" s="1"/>
  <c r="O160" i="24" s="1"/>
  <c r="O159" i="24" s="1"/>
  <c r="N165" i="24"/>
  <c r="M165" i="24"/>
  <c r="N164" i="24"/>
  <c r="M164" i="24"/>
  <c r="N163" i="24"/>
  <c r="M163" i="24"/>
  <c r="N162" i="24"/>
  <c r="M162" i="24"/>
  <c r="N161" i="24"/>
  <c r="M161" i="24"/>
  <c r="N160" i="24"/>
  <c r="M160" i="24"/>
  <c r="N159" i="24"/>
  <c r="M159" i="24"/>
  <c r="O158" i="24"/>
  <c r="O157" i="24" s="1"/>
  <c r="O156" i="24" s="1"/>
  <c r="O155" i="24" s="1"/>
  <c r="O154" i="24" s="1"/>
  <c r="O153" i="24" s="1"/>
  <c r="N158" i="24"/>
  <c r="M158" i="24"/>
  <c r="N157" i="24"/>
  <c r="M157" i="24"/>
  <c r="N156" i="24"/>
  <c r="M156" i="24"/>
  <c r="N155" i="24"/>
  <c r="M155" i="24"/>
  <c r="N154" i="24"/>
  <c r="M154" i="24"/>
  <c r="N153" i="24"/>
  <c r="M153" i="24"/>
  <c r="O152" i="24"/>
  <c r="O151" i="24" s="1"/>
  <c r="O150" i="24" s="1"/>
  <c r="O149" i="24" s="1"/>
  <c r="O148" i="24" s="1"/>
  <c r="O147" i="24" s="1"/>
  <c r="N152" i="24"/>
  <c r="M152" i="24"/>
  <c r="N151" i="24"/>
  <c r="M151" i="24"/>
  <c r="N150" i="24"/>
  <c r="M150" i="24"/>
  <c r="N149" i="24"/>
  <c r="M149" i="24"/>
  <c r="N148" i="24"/>
  <c r="M148" i="24"/>
  <c r="N147" i="24"/>
  <c r="M147" i="24"/>
  <c r="O146" i="24"/>
  <c r="O145" i="24" s="1"/>
  <c r="O144" i="24" s="1"/>
  <c r="O143" i="24" s="1"/>
  <c r="O142" i="24" s="1"/>
  <c r="N146" i="24"/>
  <c r="M146" i="24"/>
  <c r="N145" i="24"/>
  <c r="M145" i="24"/>
  <c r="N144" i="24"/>
  <c r="M144" i="24"/>
  <c r="N143" i="24"/>
  <c r="M143" i="24"/>
  <c r="N142" i="24"/>
  <c r="M142" i="24"/>
  <c r="O141" i="24"/>
  <c r="O140" i="24" s="1"/>
  <c r="O139" i="24" s="1"/>
  <c r="O138" i="24" s="1"/>
  <c r="O137" i="24" s="1"/>
  <c r="N141" i="24"/>
  <c r="M141" i="24"/>
  <c r="N140" i="24"/>
  <c r="M140" i="24"/>
  <c r="N139" i="24"/>
  <c r="M139" i="24"/>
  <c r="N138" i="24"/>
  <c r="M138" i="24"/>
  <c r="N137" i="24"/>
  <c r="M137" i="24"/>
  <c r="O136" i="24"/>
  <c r="O135" i="24" s="1"/>
  <c r="O134" i="24" s="1"/>
  <c r="O133" i="24" s="1"/>
  <c r="O132" i="24" s="1"/>
  <c r="N136" i="24"/>
  <c r="M136" i="24"/>
  <c r="N135" i="24"/>
  <c r="M135" i="24"/>
  <c r="N134" i="24"/>
  <c r="M134" i="24"/>
  <c r="N133" i="24"/>
  <c r="M133" i="24"/>
  <c r="N132" i="24"/>
  <c r="M132" i="24"/>
  <c r="O131" i="24"/>
  <c r="N131" i="24"/>
  <c r="M131" i="24"/>
  <c r="N109" i="24"/>
  <c r="M109" i="24"/>
  <c r="N108" i="24"/>
  <c r="M108" i="24"/>
  <c r="N107" i="24"/>
  <c r="M107" i="24"/>
  <c r="N106" i="24"/>
  <c r="M106" i="24"/>
  <c r="N105" i="24"/>
  <c r="M105" i="24"/>
  <c r="O104" i="24"/>
  <c r="O103" i="24" s="1"/>
  <c r="O102" i="24" s="1"/>
  <c r="O101" i="24" s="1"/>
  <c r="N104" i="24"/>
  <c r="M104" i="24"/>
  <c r="N103" i="24"/>
  <c r="M103" i="24"/>
  <c r="N102" i="24"/>
  <c r="M102" i="24"/>
  <c r="N101" i="24"/>
  <c r="M101" i="24"/>
  <c r="O100" i="24"/>
  <c r="O99" i="24" s="1"/>
  <c r="O98" i="24" s="1"/>
  <c r="O97" i="24" s="1"/>
  <c r="O96" i="24" s="1"/>
  <c r="O95" i="24" s="1"/>
  <c r="N100" i="24"/>
  <c r="M100" i="24"/>
  <c r="N99" i="24"/>
  <c r="M99" i="24"/>
  <c r="N98" i="24"/>
  <c r="M98" i="24"/>
  <c r="N97" i="24"/>
  <c r="M97" i="24"/>
  <c r="N96" i="24"/>
  <c r="M96" i="24"/>
  <c r="N95" i="24"/>
  <c r="M95" i="24"/>
  <c r="O94" i="24"/>
  <c r="O93" i="24" s="1"/>
  <c r="O92" i="24" s="1"/>
  <c r="O91" i="24" s="1"/>
  <c r="O90" i="24" s="1"/>
  <c r="N94" i="24"/>
  <c r="M94" i="24"/>
  <c r="N93" i="24"/>
  <c r="M93" i="24"/>
  <c r="N92" i="24"/>
  <c r="M92" i="24"/>
  <c r="N91" i="24"/>
  <c r="M91" i="24"/>
  <c r="N90" i="24"/>
  <c r="M90" i="24"/>
  <c r="O89" i="24"/>
  <c r="O88" i="24" s="1"/>
  <c r="O87" i="24" s="1"/>
  <c r="O86" i="24" s="1"/>
  <c r="O85" i="24" s="1"/>
  <c r="N89" i="24"/>
  <c r="M89" i="24"/>
  <c r="N88" i="24"/>
  <c r="M88" i="24"/>
  <c r="N87" i="24"/>
  <c r="M87" i="24"/>
  <c r="N86" i="24"/>
  <c r="M86" i="24"/>
  <c r="N85" i="24"/>
  <c r="M85" i="24"/>
  <c r="O84" i="24"/>
  <c r="O83" i="24" s="1"/>
  <c r="O82" i="24" s="1"/>
  <c r="N84" i="24"/>
  <c r="M84" i="24"/>
  <c r="N83" i="24"/>
  <c r="M83" i="24"/>
  <c r="N82" i="24"/>
  <c r="M82" i="24"/>
  <c r="O81" i="24"/>
  <c r="N81" i="24"/>
  <c r="M81" i="24"/>
  <c r="O80" i="24"/>
  <c r="N80" i="24"/>
  <c r="M80" i="24"/>
  <c r="O79" i="24"/>
  <c r="N79" i="24"/>
  <c r="M79" i="24"/>
  <c r="O78" i="24"/>
  <c r="N78" i="24"/>
  <c r="M78" i="24"/>
  <c r="O77" i="24"/>
  <c r="O76" i="24" s="1"/>
  <c r="O75" i="24" s="1"/>
  <c r="O74" i="24" s="1"/>
  <c r="O73" i="24" s="1"/>
  <c r="O72" i="24" s="1"/>
  <c r="O71" i="24" s="1"/>
  <c r="N77" i="24"/>
  <c r="M77" i="24"/>
  <c r="N76" i="24"/>
  <c r="M76" i="24"/>
  <c r="N75" i="24"/>
  <c r="M75" i="24"/>
  <c r="N74" i="24"/>
  <c r="M74" i="24"/>
  <c r="N73" i="24"/>
  <c r="M73" i="24"/>
  <c r="N72" i="24"/>
  <c r="M72" i="24"/>
  <c r="N71" i="24"/>
  <c r="M71" i="24"/>
  <c r="O70" i="24"/>
  <c r="N70" i="24"/>
  <c r="M70" i="24"/>
  <c r="O11" i="24"/>
  <c r="O10" i="24" s="1"/>
  <c r="O9" i="24" s="1"/>
  <c r="O8" i="24" s="1"/>
  <c r="O7" i="24" s="1"/>
  <c r="N10" i="24"/>
  <c r="M10" i="24"/>
  <c r="N9" i="24"/>
  <c r="M9" i="24"/>
  <c r="N8" i="24"/>
  <c r="M8" i="24"/>
  <c r="N7" i="24"/>
  <c r="M7" i="24"/>
  <c r="O6" i="24"/>
  <c r="N6" i="24"/>
  <c r="M6" i="24"/>
  <c r="O5" i="24"/>
  <c r="O4" i="24" s="1"/>
  <c r="O3" i="24" s="1"/>
  <c r="N5" i="24"/>
  <c r="M5" i="24"/>
  <c r="N4" i="24"/>
  <c r="M4" i="24"/>
  <c r="N3" i="24"/>
  <c r="M3" i="24"/>
  <c r="N2" i="24"/>
  <c r="M2" i="24"/>
  <c r="O64" i="24" l="1"/>
  <c r="O63" i="24" s="1"/>
  <c r="O62" i="24" s="1"/>
  <c r="O61" i="24" s="1"/>
  <c r="O60" i="24" s="1"/>
  <c r="O59" i="24" s="1"/>
  <c r="O58" i="24" s="1"/>
  <c r="O57" i="24" s="1"/>
  <c r="O56" i="24" s="1"/>
  <c r="O55" i="24" s="1"/>
  <c r="O54" i="24" s="1"/>
  <c r="O53" i="24" s="1"/>
  <c r="O52" i="24" s="1"/>
  <c r="O51" i="24" s="1"/>
  <c r="O50" i="24" s="1"/>
  <c r="O49" i="24" s="1"/>
  <c r="O48" i="24" s="1"/>
  <c r="O47" i="24" s="1"/>
  <c r="O46" i="24" s="1"/>
  <c r="O45" i="24" s="1"/>
  <c r="O44" i="24" s="1"/>
  <c r="O43" i="24" s="1"/>
  <c r="O42" i="24" s="1"/>
  <c r="O41" i="24" s="1"/>
  <c r="O40" i="24" s="1"/>
  <c r="O39" i="24" s="1"/>
  <c r="O38" i="24" s="1"/>
  <c r="O37" i="24" s="1"/>
  <c r="O36" i="24" s="1"/>
  <c r="O35" i="24" s="1"/>
  <c r="O34" i="24" s="1"/>
  <c r="O33" i="24" s="1"/>
  <c r="O32" i="24" s="1"/>
  <c r="O31" i="24" s="1"/>
  <c r="O30" i="24" s="1"/>
  <c r="O29" i="24" s="1"/>
  <c r="O28" i="24" s="1"/>
  <c r="O27" i="24" s="1"/>
  <c r="O26" i="24" s="1"/>
  <c r="O25" i="24" s="1"/>
  <c r="O24" i="24" s="1"/>
  <c r="O23" i="24" s="1"/>
  <c r="O22" i="24" s="1"/>
  <c r="O21" i="24" s="1"/>
  <c r="O20" i="24" s="1"/>
  <c r="O19" i="24" s="1"/>
  <c r="O18" i="24" s="1"/>
  <c r="O17" i="24" s="1"/>
  <c r="O16" i="24" s="1"/>
  <c r="O15" i="24" s="1"/>
  <c r="O14" i="24" s="1"/>
  <c r="O13" i="24" s="1"/>
  <c r="O12" i="24" s="1"/>
  <c r="O69" i="24"/>
  <c r="O68" i="24" s="1"/>
  <c r="O67" i="24" s="1"/>
  <c r="O66" i="24" s="1"/>
  <c r="O117" i="24"/>
  <c r="O109" i="24"/>
  <c r="O108" i="24" s="1"/>
  <c r="O107" i="24" s="1"/>
  <c r="O106" i="24" s="1"/>
  <c r="O105" i="24" s="1"/>
  <c r="O130" i="24"/>
  <c r="O129" i="24" s="1"/>
  <c r="O128" i="24" s="1"/>
  <c r="O127" i="24" s="1"/>
  <c r="O126" i="24" s="1"/>
  <c r="U2" i="16"/>
  <c r="H28" i="23" l="1"/>
  <c r="H29" i="23"/>
  <c r="J28" i="23"/>
  <c r="J29" i="23"/>
  <c r="B22" i="23" l="1"/>
  <c r="B21" i="23"/>
  <c r="B20" i="23"/>
  <c r="B19" i="23"/>
  <c r="B18" i="23"/>
  <c r="B17" i="23"/>
  <c r="B16" i="23"/>
  <c r="B15" i="23"/>
  <c r="B14" i="23"/>
  <c r="B13" i="23"/>
  <c r="B12" i="23"/>
  <c r="D50" i="23"/>
  <c r="D49" i="23"/>
  <c r="D48" i="23"/>
  <c r="D47" i="23"/>
  <c r="D46" i="23"/>
  <c r="D45" i="23"/>
  <c r="D44" i="23"/>
  <c r="D43" i="23"/>
  <c r="D42" i="23"/>
  <c r="D41" i="23"/>
  <c r="D40" i="23"/>
  <c r="D39" i="23"/>
  <c r="BT276" i="7"/>
  <c r="BQ276" i="7"/>
  <c r="BN276" i="7"/>
  <c r="BH276" i="7"/>
  <c r="BE276" i="7"/>
  <c r="AI276" i="7"/>
  <c r="AH276" i="7"/>
  <c r="AK276" i="7"/>
  <c r="I29" i="23"/>
  <c r="G29" i="23"/>
  <c r="F29" i="23"/>
  <c r="BJ276" i="7" l="1"/>
  <c r="CL276" i="7" s="1"/>
  <c r="BM276" i="7"/>
  <c r="BG276" i="7"/>
  <c r="AA276" i="7"/>
  <c r="BD276" i="7"/>
  <c r="BU276" i="7"/>
  <c r="AQ276" i="7"/>
  <c r="AR276" i="7" s="1"/>
  <c r="AS276" i="7" s="1"/>
  <c r="AW276" i="7" s="1"/>
  <c r="AL276" i="7"/>
  <c r="BR276" i="7"/>
  <c r="CO276" i="7" s="1"/>
  <c r="BL276" i="7"/>
  <c r="AM276" i="7" l="1"/>
  <c r="AN276" i="7" s="1"/>
  <c r="DB276" i="7" s="1"/>
  <c r="AO276" i="7"/>
  <c r="AP276" i="7" s="1"/>
  <c r="AT276" i="7"/>
  <c r="AU276" i="7" s="1"/>
  <c r="AV276" i="7" s="1"/>
  <c r="AB276" i="7"/>
  <c r="CH276" i="7"/>
  <c r="AP55" i="25" s="1"/>
  <c r="P345" i="25" s="1"/>
  <c r="BV276" i="7"/>
  <c r="CM276" i="7" s="1"/>
  <c r="BQ275" i="7"/>
  <c r="BG275" i="7"/>
  <c r="BE275" i="7"/>
  <c r="AI275" i="7"/>
  <c r="AK275" i="7"/>
  <c r="AQ275" i="7" s="1"/>
  <c r="AR275" i="7" s="1"/>
  <c r="AS275" i="7" s="1"/>
  <c r="AW275" i="7" s="1"/>
  <c r="BU274" i="7"/>
  <c r="BM274" i="7"/>
  <c r="BG274" i="7"/>
  <c r="BD274" i="7"/>
  <c r="AI274" i="7"/>
  <c r="BU273" i="7"/>
  <c r="BR273" i="7"/>
  <c r="CO273" i="7" s="1"/>
  <c r="BN273" i="7"/>
  <c r="BH273" i="7"/>
  <c r="AI273" i="7"/>
  <c r="AK273" i="7"/>
  <c r="BU272" i="7"/>
  <c r="BQ272" i="7"/>
  <c r="BN272" i="7"/>
  <c r="BH272" i="7"/>
  <c r="BD272" i="7"/>
  <c r="AI272" i="7"/>
  <c r="AA272" i="7"/>
  <c r="AT272" i="7" s="1"/>
  <c r="AU272" i="7" s="1"/>
  <c r="AV272" i="7" s="1"/>
  <c r="BT271" i="7"/>
  <c r="BG271" i="7"/>
  <c r="BE271" i="7"/>
  <c r="AI271" i="7"/>
  <c r="AA271" i="7"/>
  <c r="BH270" i="7"/>
  <c r="BD270" i="7"/>
  <c r="AI270" i="7"/>
  <c r="AK270" i="7"/>
  <c r="BT269" i="7"/>
  <c r="BR269" i="7"/>
  <c r="CO269" i="7" s="1"/>
  <c r="BE269" i="7"/>
  <c r="AI269" i="7"/>
  <c r="AK269" i="7"/>
  <c r="AQ269" i="7" s="1"/>
  <c r="AR269" i="7" s="1"/>
  <c r="AS269" i="7" s="1"/>
  <c r="BU268" i="7"/>
  <c r="BQ268" i="7"/>
  <c r="BM268" i="7"/>
  <c r="BH268" i="7"/>
  <c r="BD268" i="7"/>
  <c r="AI268" i="7"/>
  <c r="AA268" i="7"/>
  <c r="BU267" i="7"/>
  <c r="BR267" i="7"/>
  <c r="CO267" i="7" s="1"/>
  <c r="BM267" i="7"/>
  <c r="BE267" i="7"/>
  <c r="AI267" i="7"/>
  <c r="AK267" i="7"/>
  <c r="BT266" i="7"/>
  <c r="BQ266" i="7"/>
  <c r="BG266" i="7"/>
  <c r="BD266" i="7"/>
  <c r="AI266" i="7"/>
  <c r="AA266" i="7"/>
  <c r="AT266" i="7" s="1"/>
  <c r="AU266" i="7" s="1"/>
  <c r="AV266" i="7" s="1"/>
  <c r="BU265" i="7"/>
  <c r="BR265" i="7"/>
  <c r="CO265" i="7" s="1"/>
  <c r="BG265" i="7"/>
  <c r="BE265" i="7"/>
  <c r="AI265" i="7"/>
  <c r="AK265" i="7"/>
  <c r="I28" i="23"/>
  <c r="G28" i="23"/>
  <c r="F28" i="23"/>
  <c r="O10" i="23"/>
  <c r="N10" i="23"/>
  <c r="M10" i="23"/>
  <c r="L10" i="23"/>
  <c r="K10" i="23"/>
  <c r="J10" i="23"/>
  <c r="I10" i="23"/>
  <c r="H10" i="23"/>
  <c r="G10" i="23"/>
  <c r="F10" i="23"/>
  <c r="O6" i="23"/>
  <c r="O7" i="23" s="1"/>
  <c r="N6" i="23"/>
  <c r="N7" i="23" s="1"/>
  <c r="M6" i="23"/>
  <c r="M7" i="23" s="1"/>
  <c r="L6" i="23"/>
  <c r="L7" i="23" s="1"/>
  <c r="K6" i="23"/>
  <c r="K7" i="23" s="1"/>
  <c r="J6" i="23"/>
  <c r="J7" i="23" s="1"/>
  <c r="I6" i="23"/>
  <c r="I7" i="23" s="1"/>
  <c r="H6" i="23"/>
  <c r="H7" i="23" s="1"/>
  <c r="G6" i="23"/>
  <c r="G7" i="23" s="1"/>
  <c r="F6" i="23"/>
  <c r="F7" i="23" s="1"/>
  <c r="B11" i="23"/>
  <c r="C7" i="23"/>
  <c r="AE276" i="7" l="1"/>
  <c r="AD276" i="7"/>
  <c r="AC276" i="7"/>
  <c r="AF276" i="7" s="1"/>
  <c r="BR275" i="7"/>
  <c r="CO275" i="7" s="1"/>
  <c r="C16" i="23"/>
  <c r="E16" i="23" s="1"/>
  <c r="C19" i="23"/>
  <c r="E19" i="23" s="1"/>
  <c r="C15" i="23"/>
  <c r="E15" i="23" s="1"/>
  <c r="C21" i="23"/>
  <c r="E21" i="23" s="1"/>
  <c r="E49" i="23" s="1"/>
  <c r="C12" i="23"/>
  <c r="E12" i="23" s="1"/>
  <c r="E40" i="23" s="1"/>
  <c r="C22" i="23"/>
  <c r="E22" i="23" s="1"/>
  <c r="C20" i="23"/>
  <c r="E20" i="23" s="1"/>
  <c r="E48" i="23" s="1"/>
  <c r="C14" i="23"/>
  <c r="E14" i="23" s="1"/>
  <c r="E42" i="23" s="1"/>
  <c r="C18" i="23"/>
  <c r="E18" i="23" s="1"/>
  <c r="C17" i="23"/>
  <c r="E17" i="23" s="1"/>
  <c r="C13" i="23"/>
  <c r="E13" i="23" s="1"/>
  <c r="E41" i="23" s="1"/>
  <c r="G22" i="23"/>
  <c r="BH266" i="7"/>
  <c r="BJ275" i="7"/>
  <c r="CL275" i="7" s="1"/>
  <c r="CR276" i="7"/>
  <c r="CI276" i="7"/>
  <c r="AP67" i="25" s="1"/>
  <c r="P346" i="25" s="1"/>
  <c r="BO276" i="7"/>
  <c r="AY276" i="7"/>
  <c r="BQ269" i="7"/>
  <c r="BR268" i="7"/>
  <c r="CO268" i="7" s="1"/>
  <c r="BT268" i="7"/>
  <c r="BL272" i="7"/>
  <c r="BQ273" i="7"/>
  <c r="BT274" i="7"/>
  <c r="BQ265" i="7"/>
  <c r="BJ265" i="7"/>
  <c r="CL265" i="7" s="1"/>
  <c r="BH265" i="7"/>
  <c r="BT272" i="7"/>
  <c r="BT273" i="7"/>
  <c r="BE268" i="7"/>
  <c r="BJ268" i="7" s="1"/>
  <c r="CL268" i="7" s="1"/>
  <c r="AA270" i="7"/>
  <c r="AT270" i="7" s="1"/>
  <c r="AU270" i="7" s="1"/>
  <c r="AV270" i="7" s="1"/>
  <c r="BG272" i="7"/>
  <c r="BG268" i="7"/>
  <c r="BE270" i="7"/>
  <c r="BJ270" i="7" s="1"/>
  <c r="CL270" i="7" s="1"/>
  <c r="AQ270" i="7"/>
  <c r="AR270" i="7" s="1"/>
  <c r="AS270" i="7" s="1"/>
  <c r="AL270" i="7"/>
  <c r="BQ267" i="7"/>
  <c r="AA269" i="7"/>
  <c r="AB269" i="7" s="1"/>
  <c r="AA267" i="7"/>
  <c r="AB267" i="7" s="1"/>
  <c r="BT267" i="7"/>
  <c r="BL268" i="7"/>
  <c r="AB272" i="7"/>
  <c r="BM272" i="7"/>
  <c r="BE274" i="7"/>
  <c r="BJ274" i="7" s="1"/>
  <c r="CL274" i="7" s="1"/>
  <c r="BN268" i="7"/>
  <c r="BT265" i="7"/>
  <c r="BJ271" i="7"/>
  <c r="CL271" i="7" s="1"/>
  <c r="BR271" i="7"/>
  <c r="CO271" i="7" s="1"/>
  <c r="BQ271" i="7"/>
  <c r="BN265" i="7"/>
  <c r="BM265" i="7"/>
  <c r="BL265" i="7"/>
  <c r="BN266" i="7"/>
  <c r="BM266" i="7"/>
  <c r="BL266" i="7"/>
  <c r="AL269" i="7"/>
  <c r="AA274" i="7"/>
  <c r="AT274" i="7" s="1"/>
  <c r="AU274" i="7" s="1"/>
  <c r="AV274" i="7" s="1"/>
  <c r="AW274" i="7" s="1"/>
  <c r="BD267" i="7"/>
  <c r="BD271" i="7"/>
  <c r="BL273" i="7"/>
  <c r="BL274" i="7"/>
  <c r="BH275" i="7"/>
  <c r="BG270" i="7"/>
  <c r="BU271" i="7"/>
  <c r="AA273" i="7"/>
  <c r="AT273" i="7" s="1"/>
  <c r="AU273" i="7" s="1"/>
  <c r="AV273" i="7" s="1"/>
  <c r="BM273" i="7"/>
  <c r="AK274" i="7"/>
  <c r="BN274" i="7"/>
  <c r="BU266" i="7"/>
  <c r="BN267" i="7"/>
  <c r="BD269" i="7"/>
  <c r="BH271" i="7"/>
  <c r="AB268" i="7"/>
  <c r="AT268" i="7"/>
  <c r="AU268" i="7" s="1"/>
  <c r="AV268" i="7" s="1"/>
  <c r="AL267" i="7"/>
  <c r="AQ267" i="7"/>
  <c r="AR267" i="7" s="1"/>
  <c r="AS267" i="7" s="1"/>
  <c r="BR266" i="7"/>
  <c r="CO266" i="7" s="1"/>
  <c r="AB271" i="7"/>
  <c r="AT271" i="7"/>
  <c r="AU271" i="7" s="1"/>
  <c r="AV271" i="7" s="1"/>
  <c r="AL273" i="7"/>
  <c r="AQ273" i="7"/>
  <c r="AR273" i="7" s="1"/>
  <c r="AS273" i="7" s="1"/>
  <c r="AB266" i="7"/>
  <c r="AK266" i="7"/>
  <c r="BL267" i="7"/>
  <c r="BN275" i="7"/>
  <c r="BM275" i="7"/>
  <c r="BL275" i="7"/>
  <c r="BG269" i="7"/>
  <c r="BH269" i="7"/>
  <c r="BM270" i="7"/>
  <c r="BL270" i="7"/>
  <c r="BN270" i="7"/>
  <c r="BQ270" i="7"/>
  <c r="BR270" i="7"/>
  <c r="CO270" i="7" s="1"/>
  <c r="BE273" i="7"/>
  <c r="BJ273" i="7" s="1"/>
  <c r="CL273" i="7" s="1"/>
  <c r="BD273" i="7"/>
  <c r="AK268" i="7"/>
  <c r="BE266" i="7"/>
  <c r="BJ266" i="7" s="1"/>
  <c r="CL266" i="7" s="1"/>
  <c r="BJ269" i="7"/>
  <c r="CL269" i="7" s="1"/>
  <c r="BU269" i="7"/>
  <c r="BU270" i="7"/>
  <c r="BT270" i="7"/>
  <c r="AT267" i="7"/>
  <c r="AU267" i="7" s="1"/>
  <c r="AV267" i="7" s="1"/>
  <c r="BJ267" i="7"/>
  <c r="CL267" i="7" s="1"/>
  <c r="BG267" i="7"/>
  <c r="BN269" i="7"/>
  <c r="BL269" i="7"/>
  <c r="BH267" i="7"/>
  <c r="BM269" i="7"/>
  <c r="AK271" i="7"/>
  <c r="BL271" i="7"/>
  <c r="BM271" i="7"/>
  <c r="BN271" i="7"/>
  <c r="BR272" i="7"/>
  <c r="CO272" i="7" s="1"/>
  <c r="BH274" i="7"/>
  <c r="AL275" i="7"/>
  <c r="BE272" i="7"/>
  <c r="BJ272" i="7" s="1"/>
  <c r="CL272" i="7" s="1"/>
  <c r="BR274" i="7"/>
  <c r="CO274" i="7" s="1"/>
  <c r="BQ274" i="7"/>
  <c r="BU275" i="7"/>
  <c r="BT275" i="7"/>
  <c r="AK272" i="7"/>
  <c r="BD275" i="7"/>
  <c r="BG273" i="7"/>
  <c r="AA275" i="7"/>
  <c r="AQ265" i="7"/>
  <c r="AR265" i="7" s="1"/>
  <c r="AS265" i="7" s="1"/>
  <c r="AL265" i="7"/>
  <c r="BD265" i="7"/>
  <c r="AA265" i="7"/>
  <c r="C11" i="23"/>
  <c r="E11" i="23" s="1"/>
  <c r="E39" i="23" s="1"/>
  <c r="L22" i="23" l="1"/>
  <c r="AP163" i="25"/>
  <c r="S345" i="25" s="1"/>
  <c r="U345" i="25" s="1"/>
  <c r="AB273" i="7"/>
  <c r="AE273" i="7" s="1"/>
  <c r="AB274" i="7"/>
  <c r="AD274" i="7" s="1"/>
  <c r="AM275" i="7"/>
  <c r="AN275" i="7" s="1"/>
  <c r="DB275" i="7" s="1"/>
  <c r="AO275" i="7"/>
  <c r="AP275" i="7" s="1"/>
  <c r="AM267" i="7"/>
  <c r="AO267" i="7"/>
  <c r="AP267" i="7" s="1"/>
  <c r="AM265" i="7"/>
  <c r="AO265" i="7"/>
  <c r="AP265" i="7" s="1"/>
  <c r="AG276" i="7"/>
  <c r="AC266" i="7"/>
  <c r="AF266" i="7" s="1"/>
  <c r="AE266" i="7"/>
  <c r="AD266" i="7"/>
  <c r="AE272" i="7"/>
  <c r="AD272" i="7"/>
  <c r="AC272" i="7"/>
  <c r="AF272" i="7" s="1"/>
  <c r="AE268" i="7"/>
  <c r="AD268" i="7"/>
  <c r="AC268" i="7"/>
  <c r="AF268" i="7" s="1"/>
  <c r="AD267" i="7"/>
  <c r="AE267" i="7"/>
  <c r="AC267" i="7"/>
  <c r="AF267" i="7" s="1"/>
  <c r="AD271" i="7"/>
  <c r="AC271" i="7"/>
  <c r="AF271" i="7" s="1"/>
  <c r="AE271" i="7"/>
  <c r="AE269" i="7"/>
  <c r="AD269" i="7"/>
  <c r="AC269" i="7"/>
  <c r="AF269" i="7" s="1"/>
  <c r="CJ276" i="7"/>
  <c r="H22" i="23"/>
  <c r="CN276" i="7"/>
  <c r="CS276" i="7" s="1"/>
  <c r="AP175" i="25" s="1"/>
  <c r="AB270" i="7"/>
  <c r="CH270" i="7"/>
  <c r="AP49" i="25" s="1"/>
  <c r="CH273" i="7"/>
  <c r="AT269" i="7"/>
  <c r="AU269" i="7" s="1"/>
  <c r="AV269" i="7" s="1"/>
  <c r="CH267" i="7"/>
  <c r="AL274" i="7"/>
  <c r="AQ274" i="7"/>
  <c r="AR274" i="7" s="1"/>
  <c r="AS274" i="7" s="1"/>
  <c r="AB275" i="7"/>
  <c r="AT275" i="7"/>
  <c r="AU275" i="7" s="1"/>
  <c r="AV275" i="7" s="1"/>
  <c r="CH275" i="7" s="1"/>
  <c r="AQ272" i="7"/>
  <c r="AR272" i="7" s="1"/>
  <c r="AS272" i="7" s="1"/>
  <c r="AL272" i="7"/>
  <c r="BO270" i="7"/>
  <c r="CN270" i="7" s="1"/>
  <c r="AL268" i="7"/>
  <c r="AQ268" i="7"/>
  <c r="AR268" i="7" s="1"/>
  <c r="AS268" i="7" s="1"/>
  <c r="AQ271" i="7"/>
  <c r="AR271" i="7" s="1"/>
  <c r="AS271" i="7" s="1"/>
  <c r="AL271" i="7"/>
  <c r="AQ266" i="7"/>
  <c r="AR266" i="7" s="1"/>
  <c r="AS266" i="7" s="1"/>
  <c r="AL266" i="7"/>
  <c r="AB265" i="7"/>
  <c r="AT265" i="7"/>
  <c r="AU265" i="7" s="1"/>
  <c r="AV265" i="7" s="1"/>
  <c r="CH265" i="7" s="1"/>
  <c r="AP44" i="25" s="1"/>
  <c r="AP79" i="25" l="1"/>
  <c r="P347" i="25" s="1"/>
  <c r="P275" i="25"/>
  <c r="P225" i="25"/>
  <c r="M22" i="23"/>
  <c r="S346" i="25"/>
  <c r="U346" i="25" s="1"/>
  <c r="G13" i="23"/>
  <c r="AP46" i="25"/>
  <c r="G19" i="23"/>
  <c r="AP52" i="25"/>
  <c r="P315" i="25" s="1"/>
  <c r="G21" i="23"/>
  <c r="AP54" i="25"/>
  <c r="P335" i="25" s="1"/>
  <c r="AD273" i="7"/>
  <c r="AC273" i="7"/>
  <c r="AF273" i="7" s="1"/>
  <c r="AG273" i="7" s="1"/>
  <c r="AE274" i="7"/>
  <c r="AC274" i="7"/>
  <c r="AF274" i="7" s="1"/>
  <c r="AG274" i="7" s="1"/>
  <c r="CG274" i="7" s="1"/>
  <c r="AP29" i="25" s="1"/>
  <c r="L322" i="25" s="1"/>
  <c r="AM274" i="7"/>
  <c r="AN274" i="7" s="1"/>
  <c r="DB274" i="7" s="1"/>
  <c r="AO274" i="7"/>
  <c r="AP274" i="7" s="1"/>
  <c r="AM266" i="7"/>
  <c r="AO266" i="7"/>
  <c r="AP266" i="7" s="1"/>
  <c r="BZ276" i="7"/>
  <c r="BY276" i="7"/>
  <c r="BW276" i="7"/>
  <c r="CG276" i="7"/>
  <c r="AX276" i="7"/>
  <c r="AZ276" i="7" s="1"/>
  <c r="BA276" i="7" s="1"/>
  <c r="BB276" i="7" s="1"/>
  <c r="DC276" i="7" s="1"/>
  <c r="BX276" i="7"/>
  <c r="AG271" i="7"/>
  <c r="AG266" i="7"/>
  <c r="AG272" i="7"/>
  <c r="CG272" i="7" s="1"/>
  <c r="AP27" i="25" s="1"/>
  <c r="L302" i="25" s="1"/>
  <c r="AG269" i="7"/>
  <c r="AG268" i="7"/>
  <c r="CG268" i="7" s="1"/>
  <c r="AG267" i="7"/>
  <c r="AE275" i="7"/>
  <c r="AD275" i="7"/>
  <c r="AC275" i="7"/>
  <c r="AF275" i="7" s="1"/>
  <c r="AE265" i="7"/>
  <c r="AD265" i="7"/>
  <c r="AC265" i="7"/>
  <c r="AF265" i="7" s="1"/>
  <c r="AC270" i="7"/>
  <c r="AF270" i="7" s="1"/>
  <c r="AE270" i="7"/>
  <c r="AD270" i="7"/>
  <c r="CI270" i="7"/>
  <c r="G16" i="23"/>
  <c r="CT276" i="7"/>
  <c r="I22" i="23"/>
  <c r="BV269" i="7"/>
  <c r="CM269" i="7" s="1"/>
  <c r="CH269" i="7"/>
  <c r="AP48" i="25" s="1"/>
  <c r="BV273" i="7"/>
  <c r="CM273" i="7" s="1"/>
  <c r="CR273" i="7" s="1"/>
  <c r="AY269" i="7"/>
  <c r="CH266" i="7"/>
  <c r="BV266" i="7"/>
  <c r="CM266" i="7" s="1"/>
  <c r="BV270" i="7"/>
  <c r="CM270" i="7" s="1"/>
  <c r="CR270" i="7" s="1"/>
  <c r="AY270" i="7"/>
  <c r="CH274" i="7"/>
  <c r="BV274" i="7"/>
  <c r="CM274" i="7" s="1"/>
  <c r="BV268" i="7"/>
  <c r="CM268" i="7" s="1"/>
  <c r="CH268" i="7"/>
  <c r="CH271" i="7"/>
  <c r="BV271" i="7"/>
  <c r="CM271" i="7" s="1"/>
  <c r="CH272" i="7"/>
  <c r="BV272" i="7"/>
  <c r="CM272" i="7" s="1"/>
  <c r="BV267" i="7"/>
  <c r="CM267" i="7" s="1"/>
  <c r="CR267" i="7" s="1"/>
  <c r="CI275" i="7"/>
  <c r="AP66" i="25" s="1"/>
  <c r="P336" i="25" s="1"/>
  <c r="CI265" i="7"/>
  <c r="CI273" i="7"/>
  <c r="AP64" i="25" s="1"/>
  <c r="P316" i="25" s="1"/>
  <c r="CI267" i="7"/>
  <c r="AP58" i="25" s="1"/>
  <c r="P246" i="25" s="1"/>
  <c r="BO269" i="7"/>
  <c r="CN269" i="7" s="1"/>
  <c r="AY267" i="7"/>
  <c r="AY275" i="7"/>
  <c r="BV275" i="7"/>
  <c r="CM275" i="7" s="1"/>
  <c r="BO275" i="7"/>
  <c r="CN275" i="7" s="1"/>
  <c r="AY273" i="7"/>
  <c r="BO273" i="7"/>
  <c r="CN273" i="7" s="1"/>
  <c r="BO267" i="7"/>
  <c r="CN267" i="7" s="1"/>
  <c r="BO265" i="7"/>
  <c r="CN265" i="7" s="1"/>
  <c r="AY265" i="7"/>
  <c r="BV265" i="7"/>
  <c r="CM265" i="7" s="1"/>
  <c r="P245" i="25" l="1"/>
  <c r="P265" i="25"/>
  <c r="AP19" i="25"/>
  <c r="C342" i="25" s="1"/>
  <c r="AP31" i="25"/>
  <c r="L342" i="25" s="1"/>
  <c r="AP11" i="25"/>
  <c r="C252" i="25" s="1"/>
  <c r="AP23" i="25"/>
  <c r="L252" i="25" s="1"/>
  <c r="AP41" i="25"/>
  <c r="P324" i="25" s="1"/>
  <c r="AP17" i="25"/>
  <c r="C322" i="25" s="1"/>
  <c r="AP39" i="25"/>
  <c r="P304" i="25" s="1"/>
  <c r="AP15" i="25"/>
  <c r="C302" i="25" s="1"/>
  <c r="N22" i="23"/>
  <c r="AP187" i="25"/>
  <c r="S347" i="25" s="1"/>
  <c r="U347" i="25" s="1"/>
  <c r="L16" i="23"/>
  <c r="AP157" i="25"/>
  <c r="S275" i="25" s="1"/>
  <c r="U275" i="25" s="1"/>
  <c r="L19" i="23"/>
  <c r="AP160" i="25"/>
  <c r="S315" i="25" s="1"/>
  <c r="U315" i="25" s="1"/>
  <c r="L13" i="23"/>
  <c r="AP154" i="25"/>
  <c r="S245" i="25" s="1"/>
  <c r="G17" i="23"/>
  <c r="AP50" i="25"/>
  <c r="G12" i="23"/>
  <c r="AP45" i="25"/>
  <c r="CS270" i="7"/>
  <c r="AP169" i="25" s="1"/>
  <c r="AP61" i="25"/>
  <c r="CJ265" i="7"/>
  <c r="AP56" i="25"/>
  <c r="G14" i="23"/>
  <c r="AP47" i="25"/>
  <c r="G18" i="23"/>
  <c r="AP51" i="25"/>
  <c r="P305" i="25" s="1"/>
  <c r="G20" i="23"/>
  <c r="AP53" i="25"/>
  <c r="P325" i="25" s="1"/>
  <c r="CQ276" i="7"/>
  <c r="AP43" i="25"/>
  <c r="P344" i="25" s="1"/>
  <c r="F14" i="23"/>
  <c r="AP35" i="25"/>
  <c r="F22" i="23"/>
  <c r="CA276" i="7"/>
  <c r="DE276" i="7" s="1"/>
  <c r="CE276" i="7"/>
  <c r="CG267" i="7"/>
  <c r="AP22" i="25" s="1"/>
  <c r="L242" i="25" s="1"/>
  <c r="BZ267" i="7"/>
  <c r="F20" i="23"/>
  <c r="CQ274" i="7"/>
  <c r="CD276" i="7"/>
  <c r="CB276" i="7"/>
  <c r="CG271" i="7"/>
  <c r="AP26" i="25" s="1"/>
  <c r="L292" i="25" s="1"/>
  <c r="AX271" i="7"/>
  <c r="BW269" i="7"/>
  <c r="AX269" i="7"/>
  <c r="AZ269" i="7" s="1"/>
  <c r="BA269" i="7" s="1"/>
  <c r="BB269" i="7" s="1"/>
  <c r="DC269" i="7" s="1"/>
  <c r="BZ269" i="7"/>
  <c r="CG269" i="7"/>
  <c r="CG266" i="7"/>
  <c r="AP21" i="25" s="1"/>
  <c r="AX266" i="7"/>
  <c r="CG273" i="7"/>
  <c r="AP28" i="25" s="1"/>
  <c r="L312" i="25" s="1"/>
  <c r="BW273" i="7"/>
  <c r="AX273" i="7"/>
  <c r="AZ273" i="7" s="1"/>
  <c r="BA273" i="7" s="1"/>
  <c r="BB273" i="7" s="1"/>
  <c r="DC273" i="7" s="1"/>
  <c r="BZ273" i="7"/>
  <c r="AX272" i="7"/>
  <c r="CQ268" i="7"/>
  <c r="BW267" i="7"/>
  <c r="CK276" i="7"/>
  <c r="AG275" i="7"/>
  <c r="CC276" i="7"/>
  <c r="AG270" i="7"/>
  <c r="AX274" i="7"/>
  <c r="AX267" i="7"/>
  <c r="AZ267" i="7" s="1"/>
  <c r="BA267" i="7" s="1"/>
  <c r="BB267" i="7" s="1"/>
  <c r="DC267" i="7" s="1"/>
  <c r="AG265" i="7"/>
  <c r="AX268" i="7"/>
  <c r="CJ267" i="7"/>
  <c r="AP70" i="25" s="1"/>
  <c r="P247" i="25" s="1"/>
  <c r="H13" i="23"/>
  <c r="CI269" i="7"/>
  <c r="G15" i="23"/>
  <c r="CJ270" i="7"/>
  <c r="AP73" i="25" s="1"/>
  <c r="H16" i="23"/>
  <c r="CJ275" i="7"/>
  <c r="H21" i="23"/>
  <c r="CJ273" i="7"/>
  <c r="AP76" i="25" s="1"/>
  <c r="P317" i="25" s="1"/>
  <c r="H19" i="23"/>
  <c r="CQ272" i="7"/>
  <c r="F18" i="23"/>
  <c r="BX269" i="7"/>
  <c r="BX273" i="7"/>
  <c r="CR269" i="7"/>
  <c r="CI266" i="7"/>
  <c r="AP57" i="25" s="1"/>
  <c r="CI271" i="7"/>
  <c r="AP62" i="25" s="1"/>
  <c r="P296" i="25" s="1"/>
  <c r="CR271" i="7"/>
  <c r="CR266" i="7"/>
  <c r="CR274" i="7"/>
  <c r="CI272" i="7"/>
  <c r="AP63" i="25" s="1"/>
  <c r="P306" i="25" s="1"/>
  <c r="CI268" i="7"/>
  <c r="AP59" i="25" s="1"/>
  <c r="P256" i="25" s="1"/>
  <c r="CR268" i="7"/>
  <c r="CR272" i="7"/>
  <c r="BX267" i="7"/>
  <c r="AY274" i="7"/>
  <c r="CI274" i="7"/>
  <c r="AP65" i="25" s="1"/>
  <c r="P326" i="25" s="1"/>
  <c r="BZ274" i="7"/>
  <c r="BY269" i="7"/>
  <c r="BX274" i="7"/>
  <c r="BO274" i="7"/>
  <c r="BW274" i="7"/>
  <c r="BY273" i="7"/>
  <c r="CS273" i="7"/>
  <c r="AP172" i="25" s="1"/>
  <c r="BX268" i="7"/>
  <c r="CS267" i="7"/>
  <c r="AP166" i="25" s="1"/>
  <c r="BX266" i="7"/>
  <c r="BZ272" i="7"/>
  <c r="BX272" i="7"/>
  <c r="BO272" i="7"/>
  <c r="CN272" i="7" s="1"/>
  <c r="BW272" i="7"/>
  <c r="AY272" i="7"/>
  <c r="CS275" i="7"/>
  <c r="AP174" i="25" s="1"/>
  <c r="BW271" i="7"/>
  <c r="BZ271" i="7"/>
  <c r="BO271" i="7"/>
  <c r="CN271" i="7" s="1"/>
  <c r="AY271" i="7"/>
  <c r="CR275" i="7"/>
  <c r="BY267" i="7"/>
  <c r="BZ266" i="7"/>
  <c r="BO266" i="7"/>
  <c r="CN266" i="7" s="1"/>
  <c r="BW266" i="7"/>
  <c r="AY266" i="7"/>
  <c r="BO268" i="7"/>
  <c r="CN268" i="7" s="1"/>
  <c r="BZ268" i="7"/>
  <c r="AY268" i="7"/>
  <c r="BW268" i="7"/>
  <c r="BX271" i="7"/>
  <c r="CR265" i="7"/>
  <c r="AP152" i="25" s="1"/>
  <c r="CS265" i="7"/>
  <c r="AP164" i="25" s="1"/>
  <c r="CH263" i="7"/>
  <c r="CH262" i="7"/>
  <c r="CH261" i="7"/>
  <c r="CH260" i="7"/>
  <c r="CH259" i="7"/>
  <c r="CH258" i="7"/>
  <c r="CI258" i="7" s="1"/>
  <c r="CJ258" i="7" s="1"/>
  <c r="CH257" i="7"/>
  <c r="CI257" i="7" s="1"/>
  <c r="CJ257" i="7" s="1"/>
  <c r="CH256" i="7"/>
  <c r="CI256" i="7" s="1"/>
  <c r="CJ256" i="7" s="1"/>
  <c r="CH255" i="7"/>
  <c r="CH254" i="7"/>
  <c r="CI254" i="7" s="1"/>
  <c r="CJ254" i="7" s="1"/>
  <c r="CH253" i="7"/>
  <c r="CI253" i="7" s="1"/>
  <c r="CJ253" i="7" s="1"/>
  <c r="CH252" i="7"/>
  <c r="CI252" i="7" s="1"/>
  <c r="CJ252" i="7" s="1"/>
  <c r="CH251" i="7"/>
  <c r="CH250" i="7"/>
  <c r="CI250" i="7" s="1"/>
  <c r="CJ250" i="7" s="1"/>
  <c r="CH249" i="7"/>
  <c r="CH248" i="7"/>
  <c r="CH247" i="7"/>
  <c r="CH246" i="7"/>
  <c r="CH245" i="7"/>
  <c r="CH244" i="7"/>
  <c r="CH243" i="7"/>
  <c r="CH242" i="7"/>
  <c r="CH241" i="7"/>
  <c r="CH240" i="7"/>
  <c r="CH239" i="7"/>
  <c r="CH238" i="7"/>
  <c r="CH237" i="7"/>
  <c r="CH236" i="7"/>
  <c r="CH235" i="7"/>
  <c r="CH234" i="7"/>
  <c r="CH233" i="7"/>
  <c r="CH232" i="7"/>
  <c r="CH231" i="7"/>
  <c r="CH230" i="7"/>
  <c r="CH229" i="7"/>
  <c r="CH228" i="7"/>
  <c r="CH227" i="7"/>
  <c r="CH226" i="7"/>
  <c r="CH225" i="7"/>
  <c r="CH224" i="7"/>
  <c r="CH223" i="7"/>
  <c r="CH222" i="7"/>
  <c r="CH221" i="7"/>
  <c r="CH220" i="7"/>
  <c r="CH219" i="7"/>
  <c r="CH218" i="7"/>
  <c r="CH217" i="7"/>
  <c r="CH216" i="7"/>
  <c r="CH215" i="7"/>
  <c r="CH214" i="7"/>
  <c r="CH213" i="7"/>
  <c r="CH212" i="7"/>
  <c r="CH211" i="7"/>
  <c r="CH210" i="7"/>
  <c r="CH209" i="7"/>
  <c r="CH208" i="7"/>
  <c r="CH207" i="7"/>
  <c r="CH206" i="7"/>
  <c r="CH205" i="7"/>
  <c r="CH204" i="7"/>
  <c r="CH203" i="7"/>
  <c r="CH202" i="7"/>
  <c r="CH201" i="7"/>
  <c r="CH200" i="7"/>
  <c r="CH199" i="7"/>
  <c r="CH198" i="7"/>
  <c r="CH197" i="7"/>
  <c r="CH196" i="7"/>
  <c r="CH195" i="7"/>
  <c r="CH194" i="7"/>
  <c r="CH193" i="7"/>
  <c r="CH192" i="7"/>
  <c r="CH191" i="7"/>
  <c r="CH190" i="7"/>
  <c r="CH189" i="7"/>
  <c r="CH188" i="7"/>
  <c r="CH187" i="7"/>
  <c r="CH186" i="7"/>
  <c r="CH185" i="7"/>
  <c r="CH184" i="7"/>
  <c r="CH183" i="7"/>
  <c r="CH182" i="7"/>
  <c r="CH181" i="7"/>
  <c r="CH180" i="7"/>
  <c r="CH169" i="7"/>
  <c r="CH167" i="7"/>
  <c r="CH166" i="7"/>
  <c r="CH165" i="7"/>
  <c r="CH164" i="7"/>
  <c r="CH163" i="7"/>
  <c r="CH162" i="7"/>
  <c r="CH161" i="7"/>
  <c r="CH160" i="7"/>
  <c r="CH159" i="7"/>
  <c r="CH158" i="7"/>
  <c r="CH157" i="7"/>
  <c r="CH156" i="7"/>
  <c r="CH155" i="7"/>
  <c r="CH154" i="7"/>
  <c r="CH153" i="7"/>
  <c r="CH152" i="7"/>
  <c r="CH151" i="7"/>
  <c r="CH150" i="7"/>
  <c r="CH149" i="7"/>
  <c r="CH148" i="7"/>
  <c r="CH147" i="7"/>
  <c r="CH146" i="7"/>
  <c r="CH145" i="7"/>
  <c r="CH144" i="7"/>
  <c r="CH143" i="7"/>
  <c r="CH142" i="7"/>
  <c r="CH141" i="7"/>
  <c r="CH140" i="7"/>
  <c r="CH139" i="7"/>
  <c r="CH136" i="7"/>
  <c r="CH135" i="7"/>
  <c r="CH134" i="7"/>
  <c r="CH133" i="7"/>
  <c r="CH132" i="7"/>
  <c r="CH131" i="7"/>
  <c r="CH130" i="7"/>
  <c r="CH129" i="7"/>
  <c r="CH128" i="7"/>
  <c r="CH127" i="7"/>
  <c r="CH126" i="7"/>
  <c r="CH125" i="7"/>
  <c r="CH124" i="7"/>
  <c r="CH123" i="7"/>
  <c r="CH122" i="7"/>
  <c r="CH121" i="7"/>
  <c r="CH120" i="7"/>
  <c r="CH119" i="7"/>
  <c r="CH118" i="7"/>
  <c r="CH117" i="7"/>
  <c r="CH116" i="7"/>
  <c r="CH115" i="7"/>
  <c r="CH114" i="7"/>
  <c r="CI114" i="7" s="1"/>
  <c r="CJ114" i="7" s="1"/>
  <c r="CH113" i="7"/>
  <c r="CH112" i="7"/>
  <c r="CH111" i="7"/>
  <c r="CH110" i="7"/>
  <c r="CH109" i="7"/>
  <c r="CH108" i="7"/>
  <c r="CH107" i="7"/>
  <c r="CH105" i="7"/>
  <c r="CH104" i="7"/>
  <c r="CH103" i="7"/>
  <c r="AI264" i="7"/>
  <c r="AI263" i="7"/>
  <c r="AH263" i="7"/>
  <c r="AI262" i="7"/>
  <c r="AH262" i="7"/>
  <c r="AI261" i="7"/>
  <c r="AH261" i="7"/>
  <c r="AI260" i="7"/>
  <c r="AH260" i="7"/>
  <c r="AI259" i="7"/>
  <c r="AH259" i="7"/>
  <c r="AI258" i="7"/>
  <c r="AH258" i="7"/>
  <c r="AI257" i="7"/>
  <c r="AH257" i="7"/>
  <c r="AI256" i="7"/>
  <c r="AH256" i="7"/>
  <c r="AI255" i="7"/>
  <c r="AH255" i="7"/>
  <c r="AI254" i="7"/>
  <c r="AH254" i="7"/>
  <c r="AI253" i="7"/>
  <c r="AH253" i="7"/>
  <c r="AI252" i="7"/>
  <c r="AH252" i="7"/>
  <c r="AI251" i="7"/>
  <c r="AH251" i="7"/>
  <c r="AI250" i="7"/>
  <c r="AH250" i="7"/>
  <c r="AI249" i="7"/>
  <c r="AH249" i="7"/>
  <c r="AI248" i="7"/>
  <c r="AH248" i="7"/>
  <c r="AI247" i="7"/>
  <c r="AH247" i="7"/>
  <c r="AI246" i="7"/>
  <c r="AH246" i="7"/>
  <c r="AI245" i="7"/>
  <c r="AH245" i="7"/>
  <c r="AI244" i="7"/>
  <c r="AH244" i="7"/>
  <c r="AI243" i="7"/>
  <c r="AH243" i="7"/>
  <c r="AI242" i="7"/>
  <c r="AH242" i="7"/>
  <c r="AI241" i="7"/>
  <c r="AH241" i="7"/>
  <c r="AI240" i="7"/>
  <c r="AH240" i="7"/>
  <c r="AI239" i="7"/>
  <c r="AH239" i="7"/>
  <c r="AI238" i="7"/>
  <c r="AH238" i="7"/>
  <c r="AI237" i="7"/>
  <c r="AH237" i="7"/>
  <c r="AI236" i="7"/>
  <c r="AH236" i="7"/>
  <c r="AI235" i="7"/>
  <c r="AH235" i="7"/>
  <c r="AI234" i="7"/>
  <c r="AH234" i="7"/>
  <c r="AI233" i="7"/>
  <c r="AH233" i="7"/>
  <c r="AI232" i="7"/>
  <c r="AH232" i="7"/>
  <c r="AI231" i="7"/>
  <c r="AH231" i="7"/>
  <c r="AI230" i="7"/>
  <c r="AH230" i="7"/>
  <c r="AI229" i="7"/>
  <c r="AH229" i="7"/>
  <c r="AI228" i="7"/>
  <c r="AH228" i="7"/>
  <c r="AI227" i="7"/>
  <c r="AH227" i="7"/>
  <c r="AI226" i="7"/>
  <c r="AH226" i="7"/>
  <c r="AI225" i="7"/>
  <c r="AH225" i="7"/>
  <c r="AI224" i="7"/>
  <c r="AH224" i="7"/>
  <c r="AI223" i="7"/>
  <c r="AH223" i="7"/>
  <c r="AI222" i="7"/>
  <c r="AH222" i="7"/>
  <c r="AI221" i="7"/>
  <c r="AH221" i="7"/>
  <c r="AI220" i="7"/>
  <c r="AH220" i="7"/>
  <c r="AI219" i="7"/>
  <c r="AH219" i="7"/>
  <c r="AI218" i="7"/>
  <c r="AH218" i="7"/>
  <c r="AI217" i="7"/>
  <c r="AH217" i="7"/>
  <c r="AI216" i="7"/>
  <c r="AH216" i="7"/>
  <c r="AI215" i="7"/>
  <c r="AH215" i="7"/>
  <c r="AI214" i="7"/>
  <c r="AH214" i="7"/>
  <c r="AI213" i="7"/>
  <c r="AH213" i="7"/>
  <c r="AI212" i="7"/>
  <c r="AH212" i="7"/>
  <c r="AI211" i="7"/>
  <c r="AH211" i="7"/>
  <c r="AI210" i="7"/>
  <c r="AH210" i="7"/>
  <c r="AI209" i="7"/>
  <c r="AH209" i="7"/>
  <c r="AI208" i="7"/>
  <c r="AH208" i="7"/>
  <c r="AI207" i="7"/>
  <c r="AH207" i="7"/>
  <c r="AI206" i="7"/>
  <c r="AH206" i="7"/>
  <c r="AI205" i="7"/>
  <c r="AH205" i="7"/>
  <c r="AI204" i="7"/>
  <c r="AH204" i="7"/>
  <c r="AI203" i="7"/>
  <c r="AH203" i="7"/>
  <c r="AI202" i="7"/>
  <c r="AH202" i="7"/>
  <c r="AI201" i="7"/>
  <c r="AH201" i="7"/>
  <c r="AI200" i="7"/>
  <c r="AH200" i="7"/>
  <c r="AI199" i="7"/>
  <c r="AH199" i="7"/>
  <c r="AI198" i="7"/>
  <c r="AH198" i="7"/>
  <c r="AI197" i="7"/>
  <c r="AH197" i="7"/>
  <c r="AI196" i="7"/>
  <c r="AH196" i="7"/>
  <c r="AI195" i="7"/>
  <c r="AH195" i="7"/>
  <c r="AI194" i="7"/>
  <c r="AH194" i="7"/>
  <c r="AI193" i="7"/>
  <c r="AH193" i="7"/>
  <c r="AI192" i="7"/>
  <c r="AH192" i="7"/>
  <c r="AI191" i="7"/>
  <c r="AH191" i="7"/>
  <c r="AI190" i="7"/>
  <c r="AH190" i="7"/>
  <c r="AI189" i="7"/>
  <c r="AH189" i="7"/>
  <c r="AI188" i="7"/>
  <c r="AH188" i="7"/>
  <c r="AI187" i="7"/>
  <c r="AH187" i="7"/>
  <c r="AI186" i="7"/>
  <c r="AH186" i="7"/>
  <c r="AI185" i="7"/>
  <c r="AH185" i="7"/>
  <c r="AI184" i="7"/>
  <c r="AH184" i="7"/>
  <c r="AI183" i="7"/>
  <c r="AH183" i="7"/>
  <c r="AI182" i="7"/>
  <c r="AH182" i="7"/>
  <c r="AI181" i="7"/>
  <c r="AH181" i="7"/>
  <c r="AI180" i="7"/>
  <c r="AH180" i="7"/>
  <c r="AI179" i="7"/>
  <c r="AH179" i="7"/>
  <c r="AI178" i="7"/>
  <c r="AH178" i="7"/>
  <c r="AI177" i="7"/>
  <c r="AH177" i="7"/>
  <c r="AI176" i="7"/>
  <c r="AH176" i="7"/>
  <c r="AI175" i="7"/>
  <c r="AH175" i="7"/>
  <c r="AI174" i="7"/>
  <c r="AH174" i="7"/>
  <c r="AI173" i="7"/>
  <c r="AH173" i="7"/>
  <c r="AI172" i="7"/>
  <c r="AH172" i="7"/>
  <c r="AI171" i="7"/>
  <c r="AH171" i="7"/>
  <c r="AI170" i="7"/>
  <c r="AH170" i="7"/>
  <c r="AI169" i="7"/>
  <c r="AH169" i="7"/>
  <c r="AI168" i="7"/>
  <c r="AH168" i="7"/>
  <c r="AI167" i="7"/>
  <c r="AH167" i="7"/>
  <c r="AI166" i="7"/>
  <c r="AH166" i="7"/>
  <c r="AI165" i="7"/>
  <c r="AH165" i="7"/>
  <c r="AI164" i="7"/>
  <c r="AH164" i="7"/>
  <c r="AI163" i="7"/>
  <c r="AH163" i="7"/>
  <c r="AI162" i="7"/>
  <c r="AH162" i="7"/>
  <c r="AI161" i="7"/>
  <c r="AH161" i="7"/>
  <c r="AI160" i="7"/>
  <c r="AH160" i="7"/>
  <c r="AI159" i="7"/>
  <c r="AH159" i="7"/>
  <c r="AI158" i="7"/>
  <c r="AH158" i="7"/>
  <c r="AI157" i="7"/>
  <c r="AH157" i="7"/>
  <c r="AI156" i="7"/>
  <c r="AH156" i="7"/>
  <c r="AI155" i="7"/>
  <c r="AH155" i="7"/>
  <c r="AI154" i="7"/>
  <c r="AH154" i="7"/>
  <c r="AI153" i="7"/>
  <c r="AH153" i="7"/>
  <c r="AI152" i="7"/>
  <c r="AH152" i="7"/>
  <c r="AI151" i="7"/>
  <c r="AH151" i="7"/>
  <c r="AI150" i="7"/>
  <c r="AH150" i="7"/>
  <c r="AI149" i="7"/>
  <c r="AH149" i="7"/>
  <c r="AI148" i="7"/>
  <c r="AH148" i="7"/>
  <c r="AI147" i="7"/>
  <c r="AH147" i="7"/>
  <c r="AI146" i="7"/>
  <c r="AH146" i="7"/>
  <c r="AI145" i="7"/>
  <c r="AH145" i="7"/>
  <c r="AI144" i="7"/>
  <c r="AH144" i="7"/>
  <c r="AI143" i="7"/>
  <c r="AH143" i="7"/>
  <c r="AI142" i="7"/>
  <c r="AH142" i="7"/>
  <c r="AI141" i="7"/>
  <c r="AH141" i="7"/>
  <c r="AI140" i="7"/>
  <c r="AH140" i="7"/>
  <c r="AI139" i="7"/>
  <c r="AH139" i="7"/>
  <c r="AI138" i="7"/>
  <c r="AH138" i="7"/>
  <c r="AI137" i="7"/>
  <c r="AI136" i="7"/>
  <c r="AH136" i="7"/>
  <c r="AI135" i="7"/>
  <c r="AH135" i="7"/>
  <c r="AI134" i="7"/>
  <c r="AH134" i="7"/>
  <c r="AI133" i="7"/>
  <c r="AH133" i="7"/>
  <c r="AI132" i="7"/>
  <c r="AH132" i="7"/>
  <c r="AI131" i="7"/>
  <c r="AH131" i="7"/>
  <c r="AI130" i="7"/>
  <c r="AH130" i="7"/>
  <c r="AI129" i="7"/>
  <c r="AH129" i="7"/>
  <c r="AI128" i="7"/>
  <c r="AH128" i="7"/>
  <c r="AI127" i="7"/>
  <c r="AH127" i="7"/>
  <c r="AI126" i="7"/>
  <c r="AH126" i="7"/>
  <c r="AI125" i="7"/>
  <c r="AH125" i="7"/>
  <c r="AI124" i="7"/>
  <c r="AH124" i="7"/>
  <c r="AI123" i="7"/>
  <c r="AH123" i="7"/>
  <c r="AI122" i="7"/>
  <c r="AH122" i="7"/>
  <c r="AI121" i="7"/>
  <c r="AH121" i="7"/>
  <c r="AI120" i="7"/>
  <c r="AH120" i="7"/>
  <c r="AI119" i="7"/>
  <c r="AH119" i="7"/>
  <c r="AI118" i="7"/>
  <c r="AH118" i="7"/>
  <c r="AI117" i="7"/>
  <c r="AH117" i="7"/>
  <c r="AI116" i="7"/>
  <c r="AH116" i="7"/>
  <c r="AI115" i="7"/>
  <c r="AH115" i="7"/>
  <c r="AI114" i="7"/>
  <c r="AH114" i="7"/>
  <c r="AI113" i="7"/>
  <c r="AI112" i="7"/>
  <c r="AH112" i="7"/>
  <c r="AI111" i="7"/>
  <c r="AH111" i="7"/>
  <c r="AI110" i="7"/>
  <c r="AH110" i="7"/>
  <c r="AI109" i="7"/>
  <c r="AH109" i="7"/>
  <c r="AI108" i="7"/>
  <c r="AH108" i="7"/>
  <c r="AI107" i="7"/>
  <c r="AH107" i="7"/>
  <c r="AI106" i="7"/>
  <c r="AH106" i="7"/>
  <c r="AI105" i="7"/>
  <c r="AH105" i="7"/>
  <c r="AI104" i="7"/>
  <c r="AH104" i="7"/>
  <c r="AI103" i="7"/>
  <c r="AH103" i="7"/>
  <c r="AI102" i="7"/>
  <c r="AI101" i="7"/>
  <c r="U245" i="25" l="1"/>
  <c r="J22" i="23"/>
  <c r="AP91" i="25"/>
  <c r="AU349" i="25" s="1"/>
  <c r="AP78" i="25"/>
  <c r="P337" i="25" s="1"/>
  <c r="P277" i="25"/>
  <c r="P295" i="25"/>
  <c r="P254" i="25"/>
  <c r="P255" i="25"/>
  <c r="P276" i="25"/>
  <c r="P348" i="25"/>
  <c r="W344" i="25"/>
  <c r="W345" i="25"/>
  <c r="Z345" i="25" s="1"/>
  <c r="P349" i="25"/>
  <c r="W346" i="25"/>
  <c r="Z346" i="25" s="1"/>
  <c r="W347" i="25"/>
  <c r="Z347" i="25" s="1"/>
  <c r="P235" i="25"/>
  <c r="P226" i="25"/>
  <c r="P236" i="25"/>
  <c r="AP12" i="25"/>
  <c r="C262" i="25" s="1"/>
  <c r="AP24" i="25"/>
  <c r="L262" i="25" s="1"/>
  <c r="AP34" i="25"/>
  <c r="AP10" i="25"/>
  <c r="C242" i="25" s="1"/>
  <c r="AP40" i="25"/>
  <c r="P314" i="25" s="1"/>
  <c r="AP16" i="25"/>
  <c r="C312" i="25" s="1"/>
  <c r="AP38" i="25"/>
  <c r="AP14" i="25"/>
  <c r="C292" i="25" s="1"/>
  <c r="AP33" i="25"/>
  <c r="AP9" i="25"/>
  <c r="M13" i="23"/>
  <c r="S246" i="25"/>
  <c r="U246" i="25" s="1"/>
  <c r="M21" i="23"/>
  <c r="S336" i="25"/>
  <c r="U336" i="25" s="1"/>
  <c r="M19" i="23"/>
  <c r="S316" i="25"/>
  <c r="U316" i="25" s="1"/>
  <c r="M16" i="23"/>
  <c r="S276" i="25"/>
  <c r="L20" i="23"/>
  <c r="G48" i="23" s="1"/>
  <c r="AP161" i="25"/>
  <c r="S325" i="25" s="1"/>
  <c r="U325" i="25" s="1"/>
  <c r="L12" i="23"/>
  <c r="AP153" i="25"/>
  <c r="S235" i="25" s="1"/>
  <c r="U235" i="25" s="1"/>
  <c r="L17" i="23"/>
  <c r="AP158" i="25"/>
  <c r="S295" i="25" s="1"/>
  <c r="L21" i="23"/>
  <c r="G49" i="23" s="1"/>
  <c r="AP162" i="25"/>
  <c r="S335" i="25" s="1"/>
  <c r="U335" i="25" s="1"/>
  <c r="L18" i="23"/>
  <c r="AP159" i="25"/>
  <c r="S305" i="25" s="1"/>
  <c r="U305" i="25" s="1"/>
  <c r="L14" i="23"/>
  <c r="AP155" i="25"/>
  <c r="S255" i="25" s="1"/>
  <c r="L15" i="23"/>
  <c r="AP156" i="25"/>
  <c r="S265" i="25" s="1"/>
  <c r="U265" i="25" s="1"/>
  <c r="K14" i="23"/>
  <c r="AP143" i="25"/>
  <c r="S254" i="25" s="1"/>
  <c r="K20" i="23"/>
  <c r="AP149" i="25"/>
  <c r="S324" i="25" s="1"/>
  <c r="U324" i="25" s="1"/>
  <c r="K22" i="23"/>
  <c r="AP151" i="25"/>
  <c r="S344" i="25" s="1"/>
  <c r="U344" i="25" s="1"/>
  <c r="K18" i="23"/>
  <c r="AP147" i="25"/>
  <c r="S304" i="25" s="1"/>
  <c r="U304" i="25" s="1"/>
  <c r="CT265" i="7"/>
  <c r="AP176" i="25" s="1"/>
  <c r="AP68" i="25"/>
  <c r="CS269" i="7"/>
  <c r="AP168" i="25" s="1"/>
  <c r="AP60" i="25"/>
  <c r="H20" i="23"/>
  <c r="CQ269" i="7"/>
  <c r="AP36" i="25"/>
  <c r="DD276" i="7"/>
  <c r="DF276" i="7" s="1"/>
  <c r="CA267" i="7"/>
  <c r="DE267" i="7" s="1"/>
  <c r="CA269" i="7"/>
  <c r="DE269" i="7" s="1"/>
  <c r="CA273" i="7"/>
  <c r="DE273" i="7" s="1"/>
  <c r="CB273" i="7"/>
  <c r="F15" i="23"/>
  <c r="AZ274" i="7"/>
  <c r="BA274" i="7" s="1"/>
  <c r="BB274" i="7" s="1"/>
  <c r="AZ272" i="7"/>
  <c r="BA272" i="7" s="1"/>
  <c r="BB272" i="7" s="1"/>
  <c r="CF276" i="7"/>
  <c r="CW276" i="7" s="1"/>
  <c r="CB267" i="7"/>
  <c r="AZ266" i="7"/>
  <c r="BA266" i="7" s="1"/>
  <c r="BB266" i="7" s="1"/>
  <c r="F13" i="23"/>
  <c r="CQ267" i="7"/>
  <c r="CG265" i="7"/>
  <c r="BZ265" i="7"/>
  <c r="AX265" i="7"/>
  <c r="AZ265" i="7" s="1"/>
  <c r="BA265" i="7" s="1"/>
  <c r="BB265" i="7" s="1"/>
  <c r="DC265" i="7" s="1"/>
  <c r="BX265" i="7"/>
  <c r="BW265" i="7"/>
  <c r="BY265" i="7"/>
  <c r="BZ270" i="7"/>
  <c r="BX270" i="7"/>
  <c r="AX270" i="7"/>
  <c r="AZ270" i="7" s="1"/>
  <c r="BA270" i="7" s="1"/>
  <c r="BB270" i="7" s="1"/>
  <c r="BY270" i="7"/>
  <c r="BW270" i="7"/>
  <c r="CG270" i="7"/>
  <c r="BX275" i="7"/>
  <c r="BW275" i="7"/>
  <c r="BY275" i="7"/>
  <c r="BZ275" i="7"/>
  <c r="CG275" i="7"/>
  <c r="AX275" i="7"/>
  <c r="AZ275" i="7" s="1"/>
  <c r="BA275" i="7" s="1"/>
  <c r="BB275" i="7" s="1"/>
  <c r="AZ268" i="7"/>
  <c r="BA268" i="7" s="1"/>
  <c r="BB268" i="7" s="1"/>
  <c r="DC268" i="7" s="1"/>
  <c r="F12" i="23"/>
  <c r="CQ266" i="7"/>
  <c r="AZ271" i="7"/>
  <c r="BA271" i="7" s="1"/>
  <c r="BB271" i="7" s="1"/>
  <c r="F19" i="23"/>
  <c r="CQ273" i="7"/>
  <c r="F17" i="23"/>
  <c r="CQ271" i="7"/>
  <c r="CI239" i="7"/>
  <c r="CI111" i="7"/>
  <c r="CJ111" i="7" s="1"/>
  <c r="CI118" i="7"/>
  <c r="CJ118" i="7" s="1"/>
  <c r="CI144" i="7"/>
  <c r="CI169" i="7"/>
  <c r="CI185" i="7"/>
  <c r="CI193" i="7"/>
  <c r="CI209" i="7"/>
  <c r="CI247" i="7"/>
  <c r="CJ266" i="7"/>
  <c r="AP69" i="25" s="1"/>
  <c r="H12" i="23"/>
  <c r="CT267" i="7"/>
  <c r="I13" i="23"/>
  <c r="CT275" i="7"/>
  <c r="I21" i="23"/>
  <c r="CJ271" i="7"/>
  <c r="AP74" i="25" s="1"/>
  <c r="H17" i="23"/>
  <c r="CT270" i="7"/>
  <c r="I16" i="23"/>
  <c r="CJ268" i="7"/>
  <c r="AP71" i="25" s="1"/>
  <c r="H14" i="23"/>
  <c r="CJ269" i="7"/>
  <c r="AP72" i="25" s="1"/>
  <c r="H15" i="23"/>
  <c r="CJ272" i="7"/>
  <c r="AP75" i="25" s="1"/>
  <c r="P307" i="25" s="1"/>
  <c r="P308" i="25" s="1"/>
  <c r="H18" i="23"/>
  <c r="CT273" i="7"/>
  <c r="I19" i="23"/>
  <c r="CJ274" i="7"/>
  <c r="CD269" i="7"/>
  <c r="CB269" i="7"/>
  <c r="CE269" i="7"/>
  <c r="CK269" i="7"/>
  <c r="CC269" i="7"/>
  <c r="CI125" i="7"/>
  <c r="CJ125" i="7" s="1"/>
  <c r="CI160" i="7"/>
  <c r="CI103" i="7"/>
  <c r="CJ103" i="7" s="1"/>
  <c r="CI112" i="7"/>
  <c r="CJ112" i="7" s="1"/>
  <c r="CI119" i="7"/>
  <c r="CJ119" i="7" s="1"/>
  <c r="CI126" i="7"/>
  <c r="CJ126" i="7" s="1"/>
  <c r="CI134" i="7"/>
  <c r="CJ134" i="7" s="1"/>
  <c r="CI161" i="7"/>
  <c r="CI180" i="7"/>
  <c r="CI186" i="7"/>
  <c r="CI202" i="7"/>
  <c r="CI210" i="7"/>
  <c r="CI224" i="7"/>
  <c r="CJ224" i="7" s="1"/>
  <c r="CI240" i="7"/>
  <c r="CI248" i="7"/>
  <c r="CI261" i="7"/>
  <c r="CJ261" i="7" s="1"/>
  <c r="CI104" i="7"/>
  <c r="CJ104" i="7" s="1"/>
  <c r="CI113" i="7"/>
  <c r="CJ113" i="7" s="1"/>
  <c r="CI120" i="7"/>
  <c r="CJ120" i="7" s="1"/>
  <c r="CI127" i="7"/>
  <c r="CJ127" i="7" s="1"/>
  <c r="CI135" i="7"/>
  <c r="CJ135" i="7" s="1"/>
  <c r="CI146" i="7"/>
  <c r="CJ146" i="7" s="1"/>
  <c r="CI162" i="7"/>
  <c r="CI181" i="7"/>
  <c r="CI187" i="7"/>
  <c r="CI203" i="7"/>
  <c r="CJ203" i="7" s="1"/>
  <c r="CI211" i="7"/>
  <c r="CI217" i="7"/>
  <c r="CI225" i="7"/>
  <c r="CI241" i="7"/>
  <c r="CI249" i="7"/>
  <c r="CI255" i="7"/>
  <c r="CJ255" i="7" s="1"/>
  <c r="CI262" i="7"/>
  <c r="CJ262" i="7" s="1"/>
  <c r="CI105" i="7"/>
  <c r="CJ105" i="7" s="1"/>
  <c r="CI121" i="7"/>
  <c r="CJ121" i="7" s="1"/>
  <c r="CI128" i="7"/>
  <c r="CJ128" i="7" s="1"/>
  <c r="CI136" i="7"/>
  <c r="CJ136" i="7" s="1"/>
  <c r="CI139" i="7"/>
  <c r="CI147" i="7"/>
  <c r="CI163" i="7"/>
  <c r="CI182" i="7"/>
  <c r="CI188" i="7"/>
  <c r="CI204" i="7"/>
  <c r="CI212" i="7"/>
  <c r="CI218" i="7"/>
  <c r="CI226" i="7"/>
  <c r="CI242" i="7"/>
  <c r="CI263" i="7"/>
  <c r="CJ263" i="7" s="1"/>
  <c r="CI107" i="7"/>
  <c r="CI122" i="7"/>
  <c r="CJ122" i="7" s="1"/>
  <c r="CI129" i="7"/>
  <c r="CJ129" i="7" s="1"/>
  <c r="CI140" i="7"/>
  <c r="CI148" i="7"/>
  <c r="CI164" i="7"/>
  <c r="CI183" i="7"/>
  <c r="CI189" i="7"/>
  <c r="CI205" i="7"/>
  <c r="CI213" i="7"/>
  <c r="CI219" i="7"/>
  <c r="CI235" i="7"/>
  <c r="CI243" i="7"/>
  <c r="CI133" i="7"/>
  <c r="CJ133" i="7" s="1"/>
  <c r="CI108" i="7"/>
  <c r="CI115" i="7"/>
  <c r="CJ115" i="7" s="1"/>
  <c r="CI123" i="7"/>
  <c r="CJ123" i="7" s="1"/>
  <c r="CI130" i="7"/>
  <c r="CJ130" i="7" s="1"/>
  <c r="CI141" i="7"/>
  <c r="CI157" i="7"/>
  <c r="CI165" i="7"/>
  <c r="CI206" i="7"/>
  <c r="CI214" i="7"/>
  <c r="CI220" i="7"/>
  <c r="CI236" i="7"/>
  <c r="CJ236" i="7" s="1"/>
  <c r="CI244" i="7"/>
  <c r="CI109" i="7"/>
  <c r="CJ109" i="7" s="1"/>
  <c r="CI116" i="7"/>
  <c r="CJ116" i="7" s="1"/>
  <c r="CI124" i="7"/>
  <c r="CJ124" i="7" s="1"/>
  <c r="CI131" i="7"/>
  <c r="CJ131" i="7" s="1"/>
  <c r="CI142" i="7"/>
  <c r="CI158" i="7"/>
  <c r="CJ158" i="7" s="1"/>
  <c r="CI166" i="7"/>
  <c r="CI191" i="7"/>
  <c r="CJ191" i="7" s="1"/>
  <c r="CI207" i="7"/>
  <c r="CI215" i="7"/>
  <c r="CI221" i="7"/>
  <c r="CI237" i="7"/>
  <c r="CI245" i="7"/>
  <c r="CI251" i="7"/>
  <c r="CJ251" i="7" s="1"/>
  <c r="CI259" i="7"/>
  <c r="CJ259" i="7" s="1"/>
  <c r="CI260" i="7"/>
  <c r="CJ260" i="7" s="1"/>
  <c r="CI110" i="7"/>
  <c r="CJ110" i="7" s="1"/>
  <c r="CI117" i="7"/>
  <c r="CJ117" i="7" s="1"/>
  <c r="CI132" i="7"/>
  <c r="CJ132" i="7" s="1"/>
  <c r="CI143" i="7"/>
  <c r="CI159" i="7"/>
  <c r="CI167" i="7"/>
  <c r="CI184" i="7"/>
  <c r="CI192" i="7"/>
  <c r="CI208" i="7"/>
  <c r="CI216" i="7"/>
  <c r="CI222" i="7"/>
  <c r="CI238" i="7"/>
  <c r="CI246" i="7"/>
  <c r="DB114" i="7"/>
  <c r="DB122" i="7"/>
  <c r="DB126" i="7"/>
  <c r="DB130" i="7"/>
  <c r="DB134" i="7"/>
  <c r="DB115" i="7"/>
  <c r="DB123" i="7"/>
  <c r="DB116" i="7"/>
  <c r="DB124" i="7"/>
  <c r="DB127" i="7"/>
  <c r="DB131" i="7"/>
  <c r="DB135" i="7"/>
  <c r="DB117" i="7"/>
  <c r="CN274" i="7"/>
  <c r="CS274" i="7" s="1"/>
  <c r="AP173" i="25" s="1"/>
  <c r="BY274" i="7"/>
  <c r="CA274" i="7" s="1"/>
  <c r="DB118" i="7"/>
  <c r="DB128" i="7"/>
  <c r="DB132" i="7"/>
  <c r="DB136" i="7"/>
  <c r="DB119" i="7"/>
  <c r="DB120" i="7"/>
  <c r="DB125" i="7"/>
  <c r="DB129" i="7"/>
  <c r="DB133" i="7"/>
  <c r="DB121" i="7"/>
  <c r="CE267" i="7"/>
  <c r="CD267" i="7"/>
  <c r="CK267" i="7"/>
  <c r="CC267" i="7"/>
  <c r="CS272" i="7"/>
  <c r="AP171" i="25" s="1"/>
  <c r="CS266" i="7"/>
  <c r="AP165" i="25" s="1"/>
  <c r="CE273" i="7"/>
  <c r="CD273" i="7"/>
  <c r="BY271" i="7"/>
  <c r="CA271" i="7" s="1"/>
  <c r="CS271" i="7"/>
  <c r="AP170" i="25" s="1"/>
  <c r="BY268" i="7"/>
  <c r="CA268" i="7" s="1"/>
  <c r="CS268" i="7"/>
  <c r="AP167" i="25" s="1"/>
  <c r="CK273" i="7"/>
  <c r="BY266" i="7"/>
  <c r="CA266" i="7" s="1"/>
  <c r="CC273" i="7"/>
  <c r="BY272" i="7"/>
  <c r="CA272" i="7" s="1"/>
  <c r="AG113" i="7"/>
  <c r="CG113" i="7" s="1"/>
  <c r="BR263" i="7"/>
  <c r="CO263" i="7" s="1"/>
  <c r="BD262" i="7"/>
  <c r="BL261" i="7"/>
  <c r="BN260" i="7"/>
  <c r="BL259" i="7"/>
  <c r="BQ258" i="7"/>
  <c r="BD256" i="7"/>
  <c r="BQ254" i="7"/>
  <c r="BD254" i="7"/>
  <c r="BE253" i="7"/>
  <c r="BJ253" i="7" s="1"/>
  <c r="CL253" i="7" s="1"/>
  <c r="BR251" i="7"/>
  <c r="CO251" i="7" s="1"/>
  <c r="BE250" i="7"/>
  <c r="BJ250" i="7" s="1"/>
  <c r="CL250" i="7" s="1"/>
  <c r="BE247" i="7"/>
  <c r="BJ247" i="7" s="1"/>
  <c r="CL247" i="7" s="1"/>
  <c r="BH244" i="7"/>
  <c r="BD234" i="7"/>
  <c r="BH231" i="7"/>
  <c r="BD230" i="7"/>
  <c r="BG225" i="7"/>
  <c r="BD213" i="7"/>
  <c r="BH212" i="7"/>
  <c r="BM211" i="7"/>
  <c r="BD210" i="7"/>
  <c r="BH208" i="7"/>
  <c r="BD204" i="7"/>
  <c r="BH203" i="7"/>
  <c r="BR262" i="7"/>
  <c r="CO262" i="7" s="1"/>
  <c r="BH260" i="7"/>
  <c r="BN258" i="7"/>
  <c r="BO258" i="7" s="1"/>
  <c r="CN258" i="7" s="1"/>
  <c r="CS258" i="7" s="1"/>
  <c r="BR256" i="7"/>
  <c r="CO256" i="7" s="1"/>
  <c r="BN254" i="7"/>
  <c r="BO254" i="7" s="1"/>
  <c r="CN254" i="7" s="1"/>
  <c r="CS254" i="7" s="1"/>
  <c r="BG252" i="7"/>
  <c r="BH248" i="7"/>
  <c r="BD244" i="7"/>
  <c r="BE243" i="7"/>
  <c r="BJ243" i="7" s="1"/>
  <c r="CL243" i="7" s="1"/>
  <c r="BE242" i="7"/>
  <c r="BJ242" i="7" s="1"/>
  <c r="CL242" i="7" s="1"/>
  <c r="BG241" i="7"/>
  <c r="BD238" i="7"/>
  <c r="BL237" i="7"/>
  <c r="BR236" i="7"/>
  <c r="CO236" i="7" s="1"/>
  <c r="CT236" i="7" s="1"/>
  <c r="BH233" i="7"/>
  <c r="BH229" i="7"/>
  <c r="BH226" i="7"/>
  <c r="BD218" i="7"/>
  <c r="BE214" i="7"/>
  <c r="BJ214" i="7" s="1"/>
  <c r="CL214" i="7" s="1"/>
  <c r="BE212" i="7"/>
  <c r="BJ212" i="7" s="1"/>
  <c r="CL212" i="7" s="1"/>
  <c r="BN210" i="7"/>
  <c r="BE208" i="7"/>
  <c r="BJ208" i="7" s="1"/>
  <c r="CL208" i="7" s="1"/>
  <c r="BH207" i="7"/>
  <c r="BM205" i="7"/>
  <c r="BD203" i="7"/>
  <c r="BH198" i="7"/>
  <c r="BD197" i="7"/>
  <c r="BH190" i="7"/>
  <c r="BD189" i="7"/>
  <c r="BD187" i="7"/>
  <c r="BH183" i="7"/>
  <c r="BE178" i="7"/>
  <c r="BJ178" i="7" s="1"/>
  <c r="CL178" i="7" s="1"/>
  <c r="BD174" i="7"/>
  <c r="BD171" i="7"/>
  <c r="BG169" i="7"/>
  <c r="BG167" i="7"/>
  <c r="BD164" i="7"/>
  <c r="BD162" i="7"/>
  <c r="BG160" i="7"/>
  <c r="BM159" i="7"/>
  <c r="BE153" i="7"/>
  <c r="BJ153" i="7" s="1"/>
  <c r="CL153" i="7" s="1"/>
  <c r="BG151" i="7"/>
  <c r="BH144" i="7"/>
  <c r="BH140" i="7"/>
  <c r="BH263" i="7"/>
  <c r="BE261" i="7"/>
  <c r="BJ261" i="7" s="1"/>
  <c r="CL261" i="7" s="1"/>
  <c r="BG260" i="7"/>
  <c r="BD259" i="7"/>
  <c r="BM258" i="7"/>
  <c r="BN257" i="7"/>
  <c r="BO257" i="7" s="1"/>
  <c r="CN257" i="7" s="1"/>
  <c r="CS257" i="7" s="1"/>
  <c r="BD255" i="7"/>
  <c r="BM254" i="7"/>
  <c r="BM251" i="7"/>
  <c r="BD243" i="7"/>
  <c r="BD242" i="7"/>
  <c r="BL240" i="7"/>
  <c r="BQ236" i="7"/>
  <c r="BH235" i="7"/>
  <c r="BG233" i="7"/>
  <c r="BG229" i="7"/>
  <c r="BE264" i="7"/>
  <c r="BJ264" i="7" s="1"/>
  <c r="CL264" i="7" s="1"/>
  <c r="BG263" i="7"/>
  <c r="BM262" i="7"/>
  <c r="BR259" i="7"/>
  <c r="CO259" i="7" s="1"/>
  <c r="BL258" i="7"/>
  <c r="BR255" i="7"/>
  <c r="CO255" i="7" s="1"/>
  <c r="BL254" i="7"/>
  <c r="BR252" i="7"/>
  <c r="CO252" i="7" s="1"/>
  <c r="BD252" i="7"/>
  <c r="BL251" i="7"/>
  <c r="BQ250" i="7"/>
  <c r="BE248" i="7"/>
  <c r="BJ248" i="7" s="1"/>
  <c r="CL248" i="7" s="1"/>
  <c r="BH246" i="7"/>
  <c r="BD241" i="7"/>
  <c r="BH237" i="7"/>
  <c r="BH230" i="7"/>
  <c r="BE226" i="7"/>
  <c r="BJ226" i="7" s="1"/>
  <c r="CL226" i="7" s="1"/>
  <c r="BD222" i="7"/>
  <c r="BD220" i="7"/>
  <c r="BH217" i="7"/>
  <c r="BD216" i="7"/>
  <c r="BD211" i="7"/>
  <c r="BL262" i="7"/>
  <c r="BE260" i="7"/>
  <c r="BJ260" i="7" s="1"/>
  <c r="CL260" i="7" s="1"/>
  <c r="BQ259" i="7"/>
  <c r="BH256" i="7"/>
  <c r="BQ255" i="7"/>
  <c r="BH253" i="7"/>
  <c r="BQ252" i="7"/>
  <c r="BD248" i="7"/>
  <c r="BH240" i="7"/>
  <c r="BL239" i="7"/>
  <c r="BN236" i="7"/>
  <c r="BG230" i="7"/>
  <c r="BD226" i="7"/>
  <c r="BH213" i="7"/>
  <c r="BN261" i="7"/>
  <c r="BQ260" i="7"/>
  <c r="BD260" i="7"/>
  <c r="BE257" i="7"/>
  <c r="BJ257" i="7" s="1"/>
  <c r="CL257" i="7" s="1"/>
  <c r="BG256" i="7"/>
  <c r="BG253" i="7"/>
  <c r="BE246" i="7"/>
  <c r="BJ246" i="7" s="1"/>
  <c r="CL246" i="7" s="1"/>
  <c r="BM236" i="7"/>
  <c r="BG213" i="7"/>
  <c r="BN212" i="7"/>
  <c r="BH209" i="7"/>
  <c r="BE205" i="7"/>
  <c r="BJ205" i="7" s="1"/>
  <c r="CL205" i="7" s="1"/>
  <c r="BE202" i="7"/>
  <c r="BJ202" i="7" s="1"/>
  <c r="CL202" i="7" s="1"/>
  <c r="BH197" i="7"/>
  <c r="BE196" i="7"/>
  <c r="BJ196" i="7" s="1"/>
  <c r="CL196" i="7" s="1"/>
  <c r="BE194" i="7"/>
  <c r="BJ194" i="7" s="1"/>
  <c r="CL194" i="7" s="1"/>
  <c r="BH189" i="7"/>
  <c r="BD188" i="7"/>
  <c r="BD184" i="7"/>
  <c r="BD183" i="7"/>
  <c r="BH181" i="7"/>
  <c r="BD179" i="7"/>
  <c r="BG177" i="7"/>
  <c r="BG173" i="7"/>
  <c r="BD172" i="7"/>
  <c r="BE170" i="7"/>
  <c r="BJ170" i="7" s="1"/>
  <c r="CL170" i="7" s="1"/>
  <c r="BH168" i="7"/>
  <c r="BH166" i="7"/>
  <c r="BD165" i="7"/>
  <c r="BH164" i="7"/>
  <c r="BE163" i="7"/>
  <c r="BJ163" i="7" s="1"/>
  <c r="CL163" i="7" s="1"/>
  <c r="BE156" i="7"/>
  <c r="BJ156" i="7" s="1"/>
  <c r="CL156" i="7" s="1"/>
  <c r="BE148" i="7"/>
  <c r="BJ148" i="7" s="1"/>
  <c r="CL148" i="7" s="1"/>
  <c r="BM261" i="7"/>
  <c r="BD257" i="7"/>
  <c r="BD253" i="7"/>
  <c r="BE240" i="7"/>
  <c r="BJ240" i="7" s="1"/>
  <c r="CL240" i="7" s="1"/>
  <c r="BE239" i="7"/>
  <c r="BJ239" i="7" s="1"/>
  <c r="CL239" i="7" s="1"/>
  <c r="BE234" i="7"/>
  <c r="BJ234" i="7" s="1"/>
  <c r="CL234" i="7" s="1"/>
  <c r="BD215" i="7"/>
  <c r="BL211" i="7"/>
  <c r="BG209" i="7"/>
  <c r="BG207" i="7"/>
  <c r="BE206" i="7"/>
  <c r="BJ206" i="7" s="1"/>
  <c r="CL206" i="7" s="1"/>
  <c r="BE198" i="7"/>
  <c r="BJ198" i="7" s="1"/>
  <c r="CL198" i="7" s="1"/>
  <c r="BD196" i="7"/>
  <c r="BE184" i="7"/>
  <c r="BJ184" i="7" s="1"/>
  <c r="CL184" i="7" s="1"/>
  <c r="BH177" i="7"/>
  <c r="BD173" i="7"/>
  <c r="BH165" i="7"/>
  <c r="BL164" i="7"/>
  <c r="BE161" i="7"/>
  <c r="BJ161" i="7" s="1"/>
  <c r="CL161" i="7" s="1"/>
  <c r="BE149" i="7"/>
  <c r="BJ149" i="7" s="1"/>
  <c r="CL149" i="7" s="1"/>
  <c r="BG144" i="7"/>
  <c r="BH138" i="7"/>
  <c r="BN136" i="7"/>
  <c r="BR135" i="7"/>
  <c r="CO135" i="7" s="1"/>
  <c r="BG134" i="7"/>
  <c r="BL133" i="7"/>
  <c r="BE132" i="7"/>
  <c r="BJ132" i="7" s="1"/>
  <c r="CL132" i="7" s="1"/>
  <c r="BH130" i="7"/>
  <c r="BL127" i="7"/>
  <c r="BN126" i="7"/>
  <c r="BE125" i="7"/>
  <c r="BJ125" i="7" s="1"/>
  <c r="CL125" i="7" s="1"/>
  <c r="BR123" i="7"/>
  <c r="CO123" i="7" s="1"/>
  <c r="BG122" i="7"/>
  <c r="BM255" i="7"/>
  <c r="BD247" i="7"/>
  <c r="BL236" i="7"/>
  <c r="BD221" i="7"/>
  <c r="BD206" i="7"/>
  <c r="BD205" i="7"/>
  <c r="BE204" i="7"/>
  <c r="BJ204" i="7" s="1"/>
  <c r="CL204" i="7" s="1"/>
  <c r="BE200" i="7"/>
  <c r="BJ200" i="7" s="1"/>
  <c r="CL200" i="7" s="1"/>
  <c r="BD193" i="7"/>
  <c r="BE182" i="7"/>
  <c r="BJ182" i="7" s="1"/>
  <c r="CL182" i="7" s="1"/>
  <c r="BH174" i="7"/>
  <c r="BH170" i="7"/>
  <c r="BN167" i="7"/>
  <c r="BE159" i="7"/>
  <c r="BJ159" i="7" s="1"/>
  <c r="CL159" i="7" s="1"/>
  <c r="BH157" i="7"/>
  <c r="BH155" i="7"/>
  <c r="BH153" i="7"/>
  <c r="BH151" i="7"/>
  <c r="BG142" i="7"/>
  <c r="BE140" i="7"/>
  <c r="BJ140" i="7" s="1"/>
  <c r="CL140" i="7" s="1"/>
  <c r="BM136" i="7"/>
  <c r="BD132" i="7"/>
  <c r="BG130" i="7"/>
  <c r="BL129" i="7"/>
  <c r="BE128" i="7"/>
  <c r="BJ128" i="7" s="1"/>
  <c r="CL128" i="7" s="1"/>
  <c r="BR125" i="7"/>
  <c r="CO125" i="7" s="1"/>
  <c r="BD125" i="7"/>
  <c r="BQ123" i="7"/>
  <c r="BN121" i="7"/>
  <c r="BL118" i="7"/>
  <c r="BE117" i="7"/>
  <c r="BJ117" i="7" s="1"/>
  <c r="CL117" i="7" s="1"/>
  <c r="BH115" i="7"/>
  <c r="BL113" i="7"/>
  <c r="BN112" i="7"/>
  <c r="BM259" i="7"/>
  <c r="BE254" i="7"/>
  <c r="BJ254" i="7" s="1"/>
  <c r="CL254" i="7" s="1"/>
  <c r="BQ251" i="7"/>
  <c r="BE230" i="7"/>
  <c r="BJ230" i="7" s="1"/>
  <c r="CL230" i="7" s="1"/>
  <c r="BE218" i="7"/>
  <c r="BJ218" i="7" s="1"/>
  <c r="CL218" i="7" s="1"/>
  <c r="BD209" i="7"/>
  <c r="BD208" i="7"/>
  <c r="BD200" i="7"/>
  <c r="BG197" i="7"/>
  <c r="BH195" i="7"/>
  <c r="BE188" i="7"/>
  <c r="BJ188" i="7" s="1"/>
  <c r="CL188" i="7" s="1"/>
  <c r="BH185" i="7"/>
  <c r="BG183" i="7"/>
  <c r="BD182" i="7"/>
  <c r="BH172" i="7"/>
  <c r="BE168" i="7"/>
  <c r="BJ168" i="7" s="1"/>
  <c r="CL168" i="7" s="1"/>
  <c r="BM167" i="7"/>
  <c r="BE165" i="7"/>
  <c r="BJ165" i="7" s="1"/>
  <c r="CL165" i="7" s="1"/>
  <c r="BG164" i="7"/>
  <c r="BN163" i="7"/>
  <c r="BD159" i="7"/>
  <c r="BG155" i="7"/>
  <c r="BH148" i="7"/>
  <c r="BG146" i="7"/>
  <c r="BE144" i="7"/>
  <c r="BJ144" i="7" s="1"/>
  <c r="CL144" i="7" s="1"/>
  <c r="BE138" i="7"/>
  <c r="BJ138" i="7" s="1"/>
  <c r="CL138" i="7" s="1"/>
  <c r="BL136" i="7"/>
  <c r="BN135" i="7"/>
  <c r="BR134" i="7"/>
  <c r="CO134" i="7" s="1"/>
  <c r="BG133" i="7"/>
  <c r="BD128" i="7"/>
  <c r="BH126" i="7"/>
  <c r="BN124" i="7"/>
  <c r="BE122" i="7"/>
  <c r="BJ122" i="7" s="1"/>
  <c r="CL122" i="7" s="1"/>
  <c r="BM121" i="7"/>
  <c r="BR119" i="7"/>
  <c r="CO119" i="7" s="1"/>
  <c r="BD117" i="7"/>
  <c r="BG115" i="7"/>
  <c r="BG108" i="7"/>
  <c r="BL105" i="7"/>
  <c r="BG104" i="7"/>
  <c r="BM103" i="7"/>
  <c r="BD102" i="7"/>
  <c r="BH249" i="7"/>
  <c r="BD245" i="7"/>
  <c r="BH220" i="7"/>
  <c r="BD214" i="7"/>
  <c r="BE210" i="7"/>
  <c r="BJ210" i="7" s="1"/>
  <c r="CL210" i="7" s="1"/>
  <c r="BE190" i="7"/>
  <c r="BJ190" i="7" s="1"/>
  <c r="CL190" i="7" s="1"/>
  <c r="BQ257" i="7"/>
  <c r="BM252" i="7"/>
  <c r="BD246" i="7"/>
  <c r="BM243" i="7"/>
  <c r="BH225" i="7"/>
  <c r="BH222" i="7"/>
  <c r="BD212" i="7"/>
  <c r="BH199" i="7"/>
  <c r="BE197" i="7"/>
  <c r="BJ197" i="7" s="1"/>
  <c r="CL197" i="7" s="1"/>
  <c r="BD195" i="7"/>
  <c r="BE192" i="7"/>
  <c r="BJ192" i="7" s="1"/>
  <c r="CL192" i="7" s="1"/>
  <c r="BH187" i="7"/>
  <c r="BE185" i="7"/>
  <c r="BJ185" i="7" s="1"/>
  <c r="CL185" i="7" s="1"/>
  <c r="BE183" i="7"/>
  <c r="BJ183" i="7" s="1"/>
  <c r="CL183" i="7" s="1"/>
  <c r="BG181" i="7"/>
  <c r="BH178" i="7"/>
  <c r="BE172" i="7"/>
  <c r="BJ172" i="7" s="1"/>
  <c r="CL172" i="7" s="1"/>
  <c r="BM166" i="7"/>
  <c r="BE164" i="7"/>
  <c r="BJ164" i="7" s="1"/>
  <c r="CL164" i="7" s="1"/>
  <c r="BH163" i="7"/>
  <c r="BL162" i="7"/>
  <c r="BE155" i="7"/>
  <c r="BJ155" i="7" s="1"/>
  <c r="CL155" i="7" s="1"/>
  <c r="BH152" i="7"/>
  <c r="BG150" i="7"/>
  <c r="BG139" i="7"/>
  <c r="BH137" i="7"/>
  <c r="BE133" i="7"/>
  <c r="BJ133" i="7" s="1"/>
  <c r="CL133" i="7" s="1"/>
  <c r="BM132" i="7"/>
  <c r="BR130" i="7"/>
  <c r="CO130" i="7" s="1"/>
  <c r="BN128" i="7"/>
  <c r="BL125" i="7"/>
  <c r="BH123" i="7"/>
  <c r="BD250" i="7"/>
  <c r="BE220" i="7"/>
  <c r="BJ220" i="7" s="1"/>
  <c r="CL220" i="7" s="1"/>
  <c r="BE216" i="7"/>
  <c r="BJ216" i="7" s="1"/>
  <c r="CL216" i="7" s="1"/>
  <c r="BN205" i="7"/>
  <c r="BN204" i="7"/>
  <c r="BM203" i="7"/>
  <c r="BD192" i="7"/>
  <c r="BG189" i="7"/>
  <c r="BH175" i="7"/>
  <c r="BH169" i="7"/>
  <c r="BE167" i="7"/>
  <c r="BJ167" i="7" s="1"/>
  <c r="CL167" i="7" s="1"/>
  <c r="BN165" i="7"/>
  <c r="BG163" i="7"/>
  <c r="BH160" i="7"/>
  <c r="BH156" i="7"/>
  <c r="BD155" i="7"/>
  <c r="BG152" i="7"/>
  <c r="BH143" i="7"/>
  <c r="BE141" i="7"/>
  <c r="BJ141" i="7" s="1"/>
  <c r="CL141" i="7" s="1"/>
  <c r="BG137" i="7"/>
  <c r="BH135" i="7"/>
  <c r="BL134" i="7"/>
  <c r="BD133" i="7"/>
  <c r="BL132" i="7"/>
  <c r="BQ130" i="7"/>
  <c r="BE129" i="7"/>
  <c r="BJ129" i="7" s="1"/>
  <c r="CL129" i="7" s="1"/>
  <c r="BM128" i="7"/>
  <c r="BR126" i="7"/>
  <c r="CO126" i="7" s="1"/>
  <c r="BG123" i="7"/>
  <c r="BL122" i="7"/>
  <c r="BL120" i="7"/>
  <c r="BN119" i="7"/>
  <c r="BE118" i="7"/>
  <c r="BJ118" i="7" s="1"/>
  <c r="CL118" i="7" s="1"/>
  <c r="BM117" i="7"/>
  <c r="BR115" i="7"/>
  <c r="CO115" i="7" s="1"/>
  <c r="BD110" i="7"/>
  <c r="BG103" i="7"/>
  <c r="BH224" i="7"/>
  <c r="BD201" i="7"/>
  <c r="BG182" i="7"/>
  <c r="BD170" i="7"/>
  <c r="BL165" i="7"/>
  <c r="BQ134" i="7"/>
  <c r="BN132" i="7"/>
  <c r="BL131" i="7"/>
  <c r="BN125" i="7"/>
  <c r="BO125" i="7" s="1"/>
  <c r="CN125" i="7" s="1"/>
  <c r="CS125" i="7" s="1"/>
  <c r="BQ119" i="7"/>
  <c r="BE114" i="7"/>
  <c r="BJ114" i="7" s="1"/>
  <c r="CL114" i="7" s="1"/>
  <c r="BD251" i="7"/>
  <c r="BG231" i="7"/>
  <c r="BH186" i="7"/>
  <c r="BG175" i="7"/>
  <c r="BH159" i="7"/>
  <c r="BE145" i="7"/>
  <c r="BJ145" i="7" s="1"/>
  <c r="CL145" i="7" s="1"/>
  <c r="BN133" i="7"/>
  <c r="BN127" i="7"/>
  <c r="BG126" i="7"/>
  <c r="BR122" i="7"/>
  <c r="CO122" i="7" s="1"/>
  <c r="BD114" i="7"/>
  <c r="BG111" i="7"/>
  <c r="BD107" i="7"/>
  <c r="BN105" i="7"/>
  <c r="BE189" i="7"/>
  <c r="BJ189" i="7" s="1"/>
  <c r="CL189" i="7" s="1"/>
  <c r="BD169" i="7"/>
  <c r="BE160" i="7"/>
  <c r="BJ160" i="7" s="1"/>
  <c r="CL160" i="7" s="1"/>
  <c r="BG147" i="7"/>
  <c r="BL128" i="7"/>
  <c r="BN120" i="7"/>
  <c r="BQ115" i="7"/>
  <c r="BM110" i="7"/>
  <c r="BH252" i="7"/>
  <c r="BM210" i="7"/>
  <c r="BG166" i="7"/>
  <c r="BG159" i="7"/>
  <c r="BH147" i="7"/>
  <c r="BL135" i="7"/>
  <c r="BR129" i="7"/>
  <c r="CO129" i="7" s="1"/>
  <c r="BG125" i="7"/>
  <c r="BR118" i="7"/>
  <c r="CO118" i="7" s="1"/>
  <c r="BR114" i="7"/>
  <c r="CO114" i="7" s="1"/>
  <c r="CT114" i="7" s="1"/>
  <c r="BR112" i="7"/>
  <c r="CO112" i="7" s="1"/>
  <c r="CT112" i="7" s="1"/>
  <c r="BN110" i="7"/>
  <c r="BM204" i="7"/>
  <c r="BD178" i="7"/>
  <c r="BE157" i="7"/>
  <c r="BJ157" i="7" s="1"/>
  <c r="CL157" i="7" s="1"/>
  <c r="BL121" i="7"/>
  <c r="BH119" i="7"/>
  <c r="BE111" i="7"/>
  <c r="BJ111" i="7" s="1"/>
  <c r="CL111" i="7" s="1"/>
  <c r="BH108" i="7"/>
  <c r="BH134" i="7"/>
  <c r="BQ112" i="7"/>
  <c r="BR109" i="7"/>
  <c r="CO109" i="7" s="1"/>
  <c r="BE238" i="7"/>
  <c r="BJ238" i="7" s="1"/>
  <c r="CL238" i="7" s="1"/>
  <c r="BD181" i="7"/>
  <c r="BH162" i="7"/>
  <c r="BH161" i="7"/>
  <c r="BG140" i="7"/>
  <c r="BG119" i="7"/>
  <c r="BN118" i="7"/>
  <c r="BD111" i="7"/>
  <c r="BL110" i="7"/>
  <c r="BD106" i="7"/>
  <c r="BR103" i="7"/>
  <c r="CO103" i="7" s="1"/>
  <c r="BE102" i="7"/>
  <c r="BJ102" i="7" s="1"/>
  <c r="CL102" i="7" s="1"/>
  <c r="BG112" i="7"/>
  <c r="BH104" i="7"/>
  <c r="BG239" i="7"/>
  <c r="BH191" i="7"/>
  <c r="BE174" i="7"/>
  <c r="BJ174" i="7" s="1"/>
  <c r="CL174" i="7" s="1"/>
  <c r="BE171" i="7"/>
  <c r="BJ171" i="7" s="1"/>
  <c r="CL171" i="7" s="1"/>
  <c r="BD167" i="7"/>
  <c r="BG162" i="7"/>
  <c r="BG156" i="7"/>
  <c r="BG143" i="7"/>
  <c r="BE135" i="7"/>
  <c r="BJ135" i="7" s="1"/>
  <c r="CL135" i="7" s="1"/>
  <c r="BG129" i="7"/>
  <c r="BN117" i="7"/>
  <c r="BN116" i="7"/>
  <c r="BN113" i="7"/>
  <c r="BO113" i="7" s="1"/>
  <c r="CN113" i="7" s="1"/>
  <c r="CS113" i="7" s="1"/>
  <c r="BN109" i="7"/>
  <c r="BN111" i="7"/>
  <c r="BL109" i="7"/>
  <c r="BN103" i="7"/>
  <c r="BO103" i="7" s="1"/>
  <c r="CN103" i="7" s="1"/>
  <c r="CS103" i="7" s="1"/>
  <c r="BH173" i="7"/>
  <c r="BG148" i="7"/>
  <c r="BD129" i="7"/>
  <c r="BE110" i="7"/>
  <c r="BJ110" i="7" s="1"/>
  <c r="CL110" i="7" s="1"/>
  <c r="BD118" i="7"/>
  <c r="BH109" i="7"/>
  <c r="BE222" i="7"/>
  <c r="BJ222" i="7" s="1"/>
  <c r="CL222" i="7" s="1"/>
  <c r="BG205" i="7"/>
  <c r="BD168" i="7"/>
  <c r="BN164" i="7"/>
  <c r="BQ126" i="7"/>
  <c r="BD122" i="7"/>
  <c r="BE121" i="7"/>
  <c r="BJ121" i="7" s="1"/>
  <c r="CL121" i="7" s="1"/>
  <c r="BG118" i="7"/>
  <c r="BL117" i="7"/>
  <c r="BL116" i="7"/>
  <c r="BG114" i="7"/>
  <c r="BH112" i="7"/>
  <c r="BG107" i="7"/>
  <c r="BH182" i="7"/>
  <c r="BD163" i="7"/>
  <c r="BE152" i="7"/>
  <c r="BJ152" i="7" s="1"/>
  <c r="CL152" i="7" s="1"/>
  <c r="BH139" i="7"/>
  <c r="BN131" i="7"/>
  <c r="BL124" i="7"/>
  <c r="BD121" i="7"/>
  <c r="BL111" i="7"/>
  <c r="BL103" i="7"/>
  <c r="BE107" i="7"/>
  <c r="BJ107" i="7" s="1"/>
  <c r="CL107" i="7" s="1"/>
  <c r="BH146" i="7"/>
  <c r="BN122" i="7"/>
  <c r="BL167" i="7"/>
  <c r="BR120" i="7"/>
  <c r="CO120" i="7" s="1"/>
  <c r="BE151" i="7"/>
  <c r="BJ151" i="7" s="1"/>
  <c r="CL151" i="7" s="1"/>
  <c r="BD105" i="7"/>
  <c r="BH124" i="7"/>
  <c r="BL159" i="7"/>
  <c r="BE249" i="7"/>
  <c r="BJ249" i="7" s="1"/>
  <c r="CL249" i="7" s="1"/>
  <c r="BM135" i="7"/>
  <c r="BH262" i="7"/>
  <c r="BE179" i="7"/>
  <c r="BJ179" i="7" s="1"/>
  <c r="CL179" i="7" s="1"/>
  <c r="BD119" i="7"/>
  <c r="BE177" i="7"/>
  <c r="BJ177" i="7" s="1"/>
  <c r="CL177" i="7" s="1"/>
  <c r="BM116" i="7"/>
  <c r="BM164" i="7"/>
  <c r="BE191" i="7"/>
  <c r="BJ191" i="7" s="1"/>
  <c r="CL191" i="7" s="1"/>
  <c r="BH128" i="7"/>
  <c r="BE154" i="7"/>
  <c r="BJ154" i="7" s="1"/>
  <c r="CL154" i="7" s="1"/>
  <c r="BG203" i="7"/>
  <c r="BN162" i="7"/>
  <c r="BG232" i="7"/>
  <c r="BN250" i="7"/>
  <c r="BO250" i="7" s="1"/>
  <c r="CN250" i="7" s="1"/>
  <c r="CS250" i="7" s="1"/>
  <c r="BE241" i="7"/>
  <c r="BJ241" i="7" s="1"/>
  <c r="CL241" i="7" s="1"/>
  <c r="BR261" i="7"/>
  <c r="CO261" i="7" s="1"/>
  <c r="BN240" i="7"/>
  <c r="BE244" i="7"/>
  <c r="BJ244" i="7" s="1"/>
  <c r="CL244" i="7" s="1"/>
  <c r="BD149" i="7"/>
  <c r="BD185" i="7"/>
  <c r="BG220" i="7"/>
  <c r="BE126" i="7"/>
  <c r="BJ126" i="7" s="1"/>
  <c r="CL126" i="7" s="1"/>
  <c r="BH149" i="7"/>
  <c r="BL130" i="7"/>
  <c r="BE104" i="7"/>
  <c r="BJ104" i="7" s="1"/>
  <c r="CL104" i="7" s="1"/>
  <c r="BR133" i="7"/>
  <c r="CO133" i="7" s="1"/>
  <c r="BH105" i="7"/>
  <c r="BG116" i="7"/>
  <c r="BQ124" i="7"/>
  <c r="BG132" i="7"/>
  <c r="BH184" i="7"/>
  <c r="BD143" i="7"/>
  <c r="BM160" i="7"/>
  <c r="BD154" i="7"/>
  <c r="BH176" i="7"/>
  <c r="BM208" i="7"/>
  <c r="BG185" i="7"/>
  <c r="BD207" i="7"/>
  <c r="BG193" i="7"/>
  <c r="BM206" i="7"/>
  <c r="BG204" i="7"/>
  <c r="BQ203" i="7"/>
  <c r="BH216" i="7"/>
  <c r="BG212" i="7"/>
  <c r="BM244" i="7"/>
  <c r="BE236" i="7"/>
  <c r="BJ236" i="7" s="1"/>
  <c r="CL236" i="7" s="1"/>
  <c r="BN241" i="7"/>
  <c r="BD115" i="7"/>
  <c r="BG198" i="7"/>
  <c r="BN158" i="7"/>
  <c r="BD153" i="7"/>
  <c r="BR116" i="7"/>
  <c r="CO116" i="7" s="1"/>
  <c r="BE150" i="7"/>
  <c r="BJ150" i="7" s="1"/>
  <c r="CL150" i="7" s="1"/>
  <c r="BD113" i="7"/>
  <c r="BD104" i="7"/>
  <c r="BD124" i="7"/>
  <c r="BG172" i="7"/>
  <c r="BE103" i="7"/>
  <c r="BJ103" i="7" s="1"/>
  <c r="CL103" i="7" s="1"/>
  <c r="BE139" i="7"/>
  <c r="BJ139" i="7" s="1"/>
  <c r="CL139" i="7" s="1"/>
  <c r="BE106" i="7"/>
  <c r="BJ106" i="7" s="1"/>
  <c r="CL106" i="7" s="1"/>
  <c r="BM125" i="7"/>
  <c r="BN161" i="7"/>
  <c r="BR260" i="7"/>
  <c r="CO260" i="7" s="1"/>
  <c r="BG136" i="7"/>
  <c r="BG202" i="7"/>
  <c r="BQ109" i="7"/>
  <c r="BQ135" i="7"/>
  <c r="BG165" i="7"/>
  <c r="BD198" i="7"/>
  <c r="BQ129" i="7"/>
  <c r="BD156" i="7"/>
  <c r="BD140" i="7"/>
  <c r="BE237" i="7"/>
  <c r="BJ237" i="7" s="1"/>
  <c r="CL237" i="7" s="1"/>
  <c r="BH251" i="7"/>
  <c r="BG246" i="7"/>
  <c r="BD264" i="7"/>
  <c r="BE255" i="7"/>
  <c r="BJ255" i="7" s="1"/>
  <c r="CL255" i="7" s="1"/>
  <c r="BD157" i="7"/>
  <c r="BE193" i="7"/>
  <c r="BJ193" i="7" s="1"/>
  <c r="CL193" i="7" s="1"/>
  <c r="BG222" i="7"/>
  <c r="BG191" i="7"/>
  <c r="BL243" i="7"/>
  <c r="BL112" i="7"/>
  <c r="BG138" i="7"/>
  <c r="BG102" i="7"/>
  <c r="BG127" i="7"/>
  <c r="BG149" i="7"/>
  <c r="BR158" i="7"/>
  <c r="CO158" i="7" s="1"/>
  <c r="BE131" i="7"/>
  <c r="BJ131" i="7" s="1"/>
  <c r="CL131" i="7" s="1"/>
  <c r="BG105" i="7"/>
  <c r="BD136" i="7"/>
  <c r="BQ116" i="7"/>
  <c r="BR132" i="7"/>
  <c r="CO132" i="7" s="1"/>
  <c r="BG184" i="7"/>
  <c r="BD147" i="7"/>
  <c r="BM161" i="7"/>
  <c r="BD158" i="7"/>
  <c r="BD180" i="7"/>
  <c r="BH192" i="7"/>
  <c r="BE256" i="7"/>
  <c r="BJ256" i="7" s="1"/>
  <c r="CL256" i="7" s="1"/>
  <c r="BG194" i="7"/>
  <c r="BE199" i="7"/>
  <c r="BJ199" i="7" s="1"/>
  <c r="CL199" i="7" s="1"/>
  <c r="BQ117" i="7"/>
  <c r="BM105" i="7"/>
  <c r="BH103" i="7"/>
  <c r="BM165" i="7"/>
  <c r="BM109" i="7"/>
  <c r="BD126" i="7"/>
  <c r="BN166" i="7"/>
  <c r="BE262" i="7"/>
  <c r="BJ262" i="7" s="1"/>
  <c r="CL262" i="7" s="1"/>
  <c r="BQ111" i="7"/>
  <c r="BQ125" i="7"/>
  <c r="BH142" i="7"/>
  <c r="BG190" i="7"/>
  <c r="BH122" i="7"/>
  <c r="BE203" i="7"/>
  <c r="BJ203" i="7" s="1"/>
  <c r="CL203" i="7" s="1"/>
  <c r="BM131" i="7"/>
  <c r="BD160" i="7"/>
  <c r="BE142" i="7"/>
  <c r="BJ142" i="7" s="1"/>
  <c r="CL142" i="7" s="1"/>
  <c r="BE175" i="7"/>
  <c r="BJ175" i="7" s="1"/>
  <c r="CL175" i="7" s="1"/>
  <c r="BN262" i="7"/>
  <c r="BL210" i="7"/>
  <c r="BM257" i="7"/>
  <c r="BG195" i="7"/>
  <c r="BD239" i="7"/>
  <c r="BG199" i="7"/>
  <c r="BG245" i="7"/>
  <c r="BE113" i="7"/>
  <c r="BE137" i="7"/>
  <c r="BJ137" i="7" s="1"/>
  <c r="CL137" i="7" s="1"/>
  <c r="BL104" i="7"/>
  <c r="BE119" i="7"/>
  <c r="BJ119" i="7" s="1"/>
  <c r="CL119" i="7" s="1"/>
  <c r="BQ127" i="7"/>
  <c r="BQ158" i="7"/>
  <c r="BD103" i="7"/>
  <c r="BE108" i="7"/>
  <c r="BJ108" i="7" s="1"/>
  <c r="CL108" i="7" s="1"/>
  <c r="BG117" i="7"/>
  <c r="BN134" i="7"/>
  <c r="BD151" i="7"/>
  <c r="BH167" i="7"/>
  <c r="BH171" i="7"/>
  <c r="BN159" i="7"/>
  <c r="BG192" i="7"/>
  <c r="BD166" i="7"/>
  <c r="BD199" i="7"/>
  <c r="BG188" i="7"/>
  <c r="BG214" i="7"/>
  <c r="BG227" i="7"/>
  <c r="BG237" i="7"/>
  <c r="BL241" i="7"/>
  <c r="BR104" i="7"/>
  <c r="CO104" i="7" s="1"/>
  <c r="BR254" i="7"/>
  <c r="CO254" i="7" s="1"/>
  <c r="BQ103" i="7"/>
  <c r="BL205" i="7"/>
  <c r="BM120" i="7"/>
  <c r="BL204" i="7"/>
  <c r="BD109" i="7"/>
  <c r="BQ128" i="7"/>
  <c r="BR105" i="7"/>
  <c r="CO105" i="7" s="1"/>
  <c r="BG109" i="7"/>
  <c r="BR127" i="7"/>
  <c r="CO127" i="7" s="1"/>
  <c r="BM111" i="7"/>
  <c r="BG178" i="7"/>
  <c r="BQ122" i="7"/>
  <c r="BN160" i="7"/>
  <c r="BE211" i="7"/>
  <c r="BJ211" i="7" s="1"/>
  <c r="CL211" i="7" s="1"/>
  <c r="BM112" i="7"/>
  <c r="BN129" i="7"/>
  <c r="BG153" i="7"/>
  <c r="BL212" i="7"/>
  <c r="BR124" i="7"/>
  <c r="CO124" i="7" s="1"/>
  <c r="BG208" i="7"/>
  <c r="BD135" i="7"/>
  <c r="BE166" i="7"/>
  <c r="BJ166" i="7" s="1"/>
  <c r="CL166" i="7" s="1"/>
  <c r="BD144" i="7"/>
  <c r="BG210" i="7"/>
  <c r="BN239" i="7"/>
  <c r="BE263" i="7"/>
  <c r="BJ263" i="7" s="1"/>
  <c r="CL263" i="7" s="1"/>
  <c r="BE259" i="7"/>
  <c r="BJ259" i="7" s="1"/>
  <c r="CL259" i="7" s="1"/>
  <c r="BG161" i="7"/>
  <c r="BE201" i="7"/>
  <c r="BJ201" i="7" s="1"/>
  <c r="CL201" i="7" s="1"/>
  <c r="BE245" i="7"/>
  <c r="BJ245" i="7" s="1"/>
  <c r="CL245" i="7" s="1"/>
  <c r="BE215" i="7"/>
  <c r="BJ215" i="7" s="1"/>
  <c r="CL215" i="7" s="1"/>
  <c r="BG249" i="7"/>
  <c r="BL119" i="7"/>
  <c r="BH145" i="7"/>
  <c r="BD137" i="7"/>
  <c r="BE105" i="7"/>
  <c r="BJ105" i="7" s="1"/>
  <c r="CL105" i="7" s="1"/>
  <c r="BG120" i="7"/>
  <c r="BG128" i="7"/>
  <c r="BR111" i="7"/>
  <c r="CO111" i="7" s="1"/>
  <c r="CT111" i="7" s="1"/>
  <c r="BG110" i="7"/>
  <c r="BR117" i="7"/>
  <c r="CO117" i="7" s="1"/>
  <c r="BM134" i="7"/>
  <c r="BL158" i="7"/>
  <c r="BG171" i="7"/>
  <c r="BH179" i="7"/>
  <c r="BM162" i="7"/>
  <c r="BD175" i="7"/>
  <c r="BG201" i="7"/>
  <c r="BH193" i="7"/>
  <c r="BH211" i="7"/>
  <c r="BH214" i="7"/>
  <c r="BH205" i="7"/>
  <c r="BM212" i="7"/>
  <c r="BH110" i="7"/>
  <c r="BM104" i="7"/>
  <c r="BE213" i="7"/>
  <c r="BJ213" i="7" s="1"/>
  <c r="CL213" i="7" s="1"/>
  <c r="BD127" i="7"/>
  <c r="BH125" i="7"/>
  <c r="BH132" i="7"/>
  <c r="BH117" i="7"/>
  <c r="BQ110" i="7"/>
  <c r="BD130" i="7"/>
  <c r="BE187" i="7"/>
  <c r="BJ187" i="7" s="1"/>
  <c r="CL187" i="7" s="1"/>
  <c r="BR131" i="7"/>
  <c r="CO131" i="7" s="1"/>
  <c r="BM124" i="7"/>
  <c r="BM113" i="7"/>
  <c r="BD131" i="7"/>
  <c r="BG157" i="7"/>
  <c r="BE258" i="7"/>
  <c r="BJ258" i="7" s="1"/>
  <c r="CL258" i="7" s="1"/>
  <c r="BM126" i="7"/>
  <c r="BE147" i="7"/>
  <c r="BJ147" i="7" s="1"/>
  <c r="CL147" i="7" s="1"/>
  <c r="BG168" i="7"/>
  <c r="BE169" i="7"/>
  <c r="BJ169" i="7" s="1"/>
  <c r="CL169" i="7" s="1"/>
  <c r="BE146" i="7"/>
  <c r="BJ146" i="7" s="1"/>
  <c r="CL146" i="7" s="1"/>
  <c r="BH215" i="7"/>
  <c r="BR250" i="7"/>
  <c r="CO250" i="7" s="1"/>
  <c r="BG224" i="7"/>
  <c r="BR253" i="7"/>
  <c r="CO253" i="7" s="1"/>
  <c r="BL163" i="7"/>
  <c r="BE209" i="7"/>
  <c r="BJ209" i="7" s="1"/>
  <c r="CL209" i="7" s="1"/>
  <c r="BH255" i="7"/>
  <c r="BG218" i="7"/>
  <c r="BE120" i="7"/>
  <c r="BJ120" i="7" s="1"/>
  <c r="CL120" i="7" s="1"/>
  <c r="BG145" i="7"/>
  <c r="BH154" i="7"/>
  <c r="BE112" i="7"/>
  <c r="BJ112" i="7" s="1"/>
  <c r="CL112" i="7" s="1"/>
  <c r="BQ120" i="7"/>
  <c r="BR128" i="7"/>
  <c r="CO128" i="7" s="1"/>
  <c r="BH120" i="7"/>
  <c r="BL115" i="7"/>
  <c r="BD142" i="7"/>
  <c r="BL114" i="7"/>
  <c r="BQ105" i="7"/>
  <c r="BR110" i="7"/>
  <c r="CO110" i="7" s="1"/>
  <c r="CT110" i="7" s="1"/>
  <c r="BM129" i="7"/>
  <c r="BR136" i="7"/>
  <c r="CO136" i="7" s="1"/>
  <c r="BH141" i="7"/>
  <c r="BH136" i="7"/>
  <c r="BD176" i="7"/>
  <c r="BM163" i="7"/>
  <c r="BH200" i="7"/>
  <c r="BD177" i="7"/>
  <c r="BN203" i="7"/>
  <c r="BH196" i="7"/>
  <c r="BD120" i="7"/>
  <c r="BH113" i="7"/>
  <c r="BJ113" i="7" s="1"/>
  <c r="CL113" i="7" s="1"/>
  <c r="BD108" i="7"/>
  <c r="BH107" i="7"/>
  <c r="BM260" i="7"/>
  <c r="BH133" i="7"/>
  <c r="BH111" i="7"/>
  <c r="BH106" i="7"/>
  <c r="BD112" i="7"/>
  <c r="BQ133" i="7"/>
  <c r="BD194" i="7"/>
  <c r="BH114" i="7"/>
  <c r="BE136" i="7"/>
  <c r="BJ136" i="7" s="1"/>
  <c r="CL136" i="7" s="1"/>
  <c r="BG187" i="7"/>
  <c r="BD190" i="7"/>
  <c r="BN114" i="7"/>
  <c r="BQ132" i="7"/>
  <c r="BM127" i="7"/>
  <c r="BD161" i="7"/>
  <c r="BE173" i="7"/>
  <c r="BJ173" i="7" s="1"/>
  <c r="CL173" i="7" s="1"/>
  <c r="BG180" i="7"/>
  <c r="BH150" i="7"/>
  <c r="BE217" i="7"/>
  <c r="BJ217" i="7" s="1"/>
  <c r="CL217" i="7" s="1"/>
  <c r="BN251" i="7"/>
  <c r="BO251" i="7" s="1"/>
  <c r="CN251" i="7" s="1"/>
  <c r="BD123" i="7"/>
  <c r="BM123" i="7"/>
  <c r="BR113" i="7"/>
  <c r="CO113" i="7" s="1"/>
  <c r="BQ118" i="7"/>
  <c r="BM119" i="7"/>
  <c r="BD145" i="7"/>
  <c r="BD138" i="7"/>
  <c r="BR258" i="7"/>
  <c r="CO258" i="7" s="1"/>
  <c r="BH121" i="7"/>
  <c r="BD148" i="7"/>
  <c r="BG176" i="7"/>
  <c r="BM118" i="7"/>
  <c r="BQ114" i="7"/>
  <c r="BM133" i="7"/>
  <c r="BD152" i="7"/>
  <c r="BG186" i="7"/>
  <c r="BG228" i="7"/>
  <c r="BQ262" i="7"/>
  <c r="BE181" i="7"/>
  <c r="BJ181" i="7" s="1"/>
  <c r="CL181" i="7" s="1"/>
  <c r="BQ263" i="7"/>
  <c r="BD240" i="7"/>
  <c r="BG135" i="7"/>
  <c r="BD134" i="7"/>
  <c r="BG158" i="7"/>
  <c r="BE124" i="7"/>
  <c r="BJ124" i="7" s="1"/>
  <c r="CL124" i="7" s="1"/>
  <c r="BN130" i="7"/>
  <c r="BQ104" i="7"/>
  <c r="BE115" i="7"/>
  <c r="BJ115" i="7" s="1"/>
  <c r="CL115" i="7" s="1"/>
  <c r="BG124" i="7"/>
  <c r="BM130" i="7"/>
  <c r="BH129" i="7"/>
  <c r="BE162" i="7"/>
  <c r="BJ162" i="7" s="1"/>
  <c r="CL162" i="7" s="1"/>
  <c r="BG217" i="7"/>
  <c r="BE251" i="7"/>
  <c r="BJ251" i="7" s="1"/>
  <c r="CL251" i="7" s="1"/>
  <c r="BL126" i="7"/>
  <c r="BG121" i="7"/>
  <c r="BM122" i="7"/>
  <c r="BG141" i="7"/>
  <c r="BD139" i="7"/>
  <c r="BD186" i="7"/>
  <c r="BG200" i="7"/>
  <c r="BL206" i="7"/>
  <c r="BM207" i="7"/>
  <c r="BG211" i="7"/>
  <c r="BH210" i="7"/>
  <c r="BM238" i="7"/>
  <c r="BM237" i="7"/>
  <c r="BN253" i="7"/>
  <c r="BO253" i="7" s="1"/>
  <c r="CN253" i="7" s="1"/>
  <c r="CS253" i="7" s="1"/>
  <c r="BH219" i="7"/>
  <c r="BL256" i="7"/>
  <c r="BD235" i="7"/>
  <c r="BH218" i="7"/>
  <c r="BH234" i="7"/>
  <c r="BG248" i="7"/>
  <c r="BH254" i="7"/>
  <c r="BG261" i="7"/>
  <c r="BH245" i="7"/>
  <c r="BD263" i="7"/>
  <c r="BE221" i="7"/>
  <c r="BJ221" i="7" s="1"/>
  <c r="CL221" i="7" s="1"/>
  <c r="BG113" i="7"/>
  <c r="BM158" i="7"/>
  <c r="BM253" i="7"/>
  <c r="BG234" i="7"/>
  <c r="BH258" i="7"/>
  <c r="BH118" i="7"/>
  <c r="BD202" i="7"/>
  <c r="BE180" i="7"/>
  <c r="BJ180" i="7" s="1"/>
  <c r="CL180" i="7" s="1"/>
  <c r="BE252" i="7"/>
  <c r="BJ252" i="7" s="1"/>
  <c r="CL252" i="7" s="1"/>
  <c r="BE176" i="7"/>
  <c r="BJ176" i="7" s="1"/>
  <c r="CL176" i="7" s="1"/>
  <c r="BN255" i="7"/>
  <c r="BO255" i="7" s="1"/>
  <c r="CN255" i="7" s="1"/>
  <c r="CS255" i="7" s="1"/>
  <c r="BE127" i="7"/>
  <c r="BJ127" i="7" s="1"/>
  <c r="CL127" i="7" s="1"/>
  <c r="BR121" i="7"/>
  <c r="CO121" i="7" s="1"/>
  <c r="BE123" i="7"/>
  <c r="BJ123" i="7" s="1"/>
  <c r="CL123" i="7" s="1"/>
  <c r="BD146" i="7"/>
  <c r="BL160" i="7"/>
  <c r="BE186" i="7"/>
  <c r="BJ186" i="7" s="1"/>
  <c r="CL186" i="7" s="1"/>
  <c r="BE207" i="7"/>
  <c r="BJ207" i="7" s="1"/>
  <c r="CL207" i="7" s="1"/>
  <c r="BN206" i="7"/>
  <c r="BE225" i="7"/>
  <c r="BJ225" i="7" s="1"/>
  <c r="CL225" i="7" s="1"/>
  <c r="BH227" i="7"/>
  <c r="BM241" i="7"/>
  <c r="BG240" i="7"/>
  <c r="BE223" i="7"/>
  <c r="BJ223" i="7" s="1"/>
  <c r="CL223" i="7" s="1"/>
  <c r="BG238" i="7"/>
  <c r="BG221" i="7"/>
  <c r="BL255" i="7"/>
  <c r="BM239" i="7"/>
  <c r="BL250" i="7"/>
  <c r="BH247" i="7"/>
  <c r="BG255" i="7"/>
  <c r="BL238" i="7"/>
  <c r="BH257" i="7"/>
  <c r="BL263" i="7"/>
  <c r="BM115" i="7"/>
  <c r="BD116" i="7"/>
  <c r="BN259" i="7"/>
  <c r="BO259" i="7" s="1"/>
  <c r="CN259" i="7" s="1"/>
  <c r="BQ121" i="7"/>
  <c r="BG235" i="7"/>
  <c r="BN211" i="7"/>
  <c r="BD150" i="7"/>
  <c r="BN115" i="7"/>
  <c r="BE130" i="7"/>
  <c r="BJ130" i="7" s="1"/>
  <c r="CL130" i="7" s="1"/>
  <c r="BN104" i="7"/>
  <c r="BL161" i="7"/>
  <c r="BL166" i="7"/>
  <c r="BH188" i="7"/>
  <c r="BD225" i="7"/>
  <c r="BL209" i="7"/>
  <c r="BN244" i="7"/>
  <c r="BG226" i="7"/>
  <c r="BH239" i="7"/>
  <c r="BE231" i="7"/>
  <c r="BJ231" i="7" s="1"/>
  <c r="CL231" i="7" s="1"/>
  <c r="BD223" i="7"/>
  <c r="BG223" i="7"/>
  <c r="BG250" i="7"/>
  <c r="BD258" i="7"/>
  <c r="BM240" i="7"/>
  <c r="BQ253" i="7"/>
  <c r="BH264" i="7"/>
  <c r="BD249" i="7"/>
  <c r="BL257" i="7"/>
  <c r="BH223" i="7"/>
  <c r="BH236" i="7"/>
  <c r="BE229" i="7"/>
  <c r="BJ229" i="7" s="1"/>
  <c r="CL229" i="7" s="1"/>
  <c r="BN256" i="7"/>
  <c r="BO256" i="7" s="1"/>
  <c r="CN256" i="7" s="1"/>
  <c r="CS256" i="7" s="1"/>
  <c r="BG247" i="7"/>
  <c r="BH116" i="7"/>
  <c r="BE143" i="7"/>
  <c r="BJ143" i="7" s="1"/>
  <c r="CL143" i="7" s="1"/>
  <c r="BE134" i="7"/>
  <c r="BJ134" i="7" s="1"/>
  <c r="CL134" i="7" s="1"/>
  <c r="BN123" i="7"/>
  <c r="BG131" i="7"/>
  <c r="BG170" i="7"/>
  <c r="BH180" i="7"/>
  <c r="BH206" i="7"/>
  <c r="BG196" i="7"/>
  <c r="BH194" i="7"/>
  <c r="BL244" i="7"/>
  <c r="BE227" i="7"/>
  <c r="BJ227" i="7" s="1"/>
  <c r="CL227" i="7" s="1"/>
  <c r="BH241" i="7"/>
  <c r="BD231" i="7"/>
  <c r="BE232" i="7"/>
  <c r="BJ232" i="7" s="1"/>
  <c r="CL232" i="7" s="1"/>
  <c r="BD217" i="7"/>
  <c r="BE224" i="7"/>
  <c r="BJ224" i="7" s="1"/>
  <c r="CL224" i="7" s="1"/>
  <c r="BG243" i="7"/>
  <c r="BN242" i="7"/>
  <c r="BG264" i="7"/>
  <c r="BE219" i="7"/>
  <c r="BJ219" i="7" s="1"/>
  <c r="CL219" i="7" s="1"/>
  <c r="BE233" i="7"/>
  <c r="BJ233" i="7" s="1"/>
  <c r="CL233" i="7" s="1"/>
  <c r="BN209" i="7"/>
  <c r="BD261" i="7"/>
  <c r="BR257" i="7"/>
  <c r="CO257" i="7" s="1"/>
  <c r="BG154" i="7"/>
  <c r="BG106" i="7"/>
  <c r="BQ131" i="7"/>
  <c r="BG179" i="7"/>
  <c r="BG174" i="7"/>
  <c r="BH201" i="7"/>
  <c r="BD227" i="7"/>
  <c r="BH242" i="7"/>
  <c r="BG219" i="7"/>
  <c r="BD232" i="7"/>
  <c r="BH243" i="7"/>
  <c r="BD224" i="7"/>
  <c r="BG254" i="7"/>
  <c r="BL242" i="7"/>
  <c r="BD237" i="7"/>
  <c r="BN263" i="7"/>
  <c r="BG259" i="7"/>
  <c r="BN252" i="7"/>
  <c r="BO252" i="7" s="1"/>
  <c r="CN252" i="7" s="1"/>
  <c r="CS252" i="7" s="1"/>
  <c r="BH102" i="7"/>
  <c r="BE158" i="7"/>
  <c r="BJ158" i="7" s="1"/>
  <c r="CL158" i="7" s="1"/>
  <c r="BH259" i="7"/>
  <c r="BH158" i="7"/>
  <c r="BH127" i="7"/>
  <c r="BE109" i="7"/>
  <c r="BJ109" i="7" s="1"/>
  <c r="CL109" i="7" s="1"/>
  <c r="BQ136" i="7"/>
  <c r="BD191" i="7"/>
  <c r="BH204" i="7"/>
  <c r="BH202" i="7"/>
  <c r="BG236" i="7"/>
  <c r="BM209" i="7"/>
  <c r="BD236" i="7"/>
  <c r="BE228" i="7"/>
  <c r="BJ228" i="7" s="1"/>
  <c r="CL228" i="7" s="1"/>
  <c r="BG242" i="7"/>
  <c r="BH228" i="7"/>
  <c r="BL245" i="7"/>
  <c r="BH221" i="7"/>
  <c r="BH232" i="7"/>
  <c r="BG251" i="7"/>
  <c r="BH250" i="7"/>
  <c r="BN243" i="7"/>
  <c r="BM242" i="7"/>
  <c r="BM250" i="7"/>
  <c r="BM263" i="7"/>
  <c r="BL260" i="7"/>
  <c r="BD141" i="7"/>
  <c r="BE116" i="7"/>
  <c r="BJ116" i="7" s="1"/>
  <c r="CL116" i="7" s="1"/>
  <c r="BL208" i="7"/>
  <c r="BR203" i="7"/>
  <c r="CO203" i="7" s="1"/>
  <c r="BN245" i="7"/>
  <c r="BG215" i="7"/>
  <c r="BE195" i="7"/>
  <c r="BJ195" i="7" s="1"/>
  <c r="CL195" i="7" s="1"/>
  <c r="BH131" i="7"/>
  <c r="BQ256" i="7"/>
  <c r="BH238" i="7"/>
  <c r="BQ113" i="7"/>
  <c r="BL123" i="7"/>
  <c r="BM114" i="7"/>
  <c r="BN208" i="7"/>
  <c r="BG206" i="7"/>
  <c r="BL203" i="7"/>
  <c r="BN207" i="7"/>
  <c r="BL207" i="7"/>
  <c r="BG216" i="7"/>
  <c r="BD219" i="7"/>
  <c r="BN238" i="7"/>
  <c r="BN237" i="7"/>
  <c r="BL253" i="7"/>
  <c r="BD229" i="7"/>
  <c r="BM245" i="7"/>
  <c r="BG257" i="7"/>
  <c r="BM256" i="7"/>
  <c r="BE235" i="7"/>
  <c r="BJ235" i="7" s="1"/>
  <c r="CL235" i="7" s="1"/>
  <c r="BD233" i="7"/>
  <c r="BL252" i="7"/>
  <c r="BH261" i="7"/>
  <c r="BG258" i="7"/>
  <c r="BG244" i="7"/>
  <c r="BQ261" i="7"/>
  <c r="BG262" i="7"/>
  <c r="BD228" i="7"/>
  <c r="BD101" i="7"/>
  <c r="BE101" i="7"/>
  <c r="U295" i="25" l="1"/>
  <c r="U276" i="25"/>
  <c r="U254" i="25"/>
  <c r="J13" i="23"/>
  <c r="AP82" i="25"/>
  <c r="AU249" i="25" s="1"/>
  <c r="J15" i="23"/>
  <c r="AP84" i="25"/>
  <c r="AU269" i="25" s="1"/>
  <c r="J19" i="23"/>
  <c r="AP88" i="25"/>
  <c r="AU319" i="25" s="1"/>
  <c r="U255" i="25"/>
  <c r="P244" i="25"/>
  <c r="AL346" i="25"/>
  <c r="AC346" i="25"/>
  <c r="P267" i="25"/>
  <c r="P257" i="25"/>
  <c r="P258" i="25" s="1"/>
  <c r="AL345" i="25"/>
  <c r="AC345" i="25"/>
  <c r="P309" i="25"/>
  <c r="P266" i="25"/>
  <c r="P294" i="25"/>
  <c r="Z344" i="25"/>
  <c r="W306" i="25"/>
  <c r="W305" i="25"/>
  <c r="Z305" i="25" s="1"/>
  <c r="W307" i="25"/>
  <c r="P264" i="25"/>
  <c r="W315" i="25"/>
  <c r="Z315" i="25" s="1"/>
  <c r="P318" i="25"/>
  <c r="W314" i="25"/>
  <c r="P319" i="25"/>
  <c r="W304" i="25"/>
  <c r="Z304" i="25" s="1"/>
  <c r="W317" i="25"/>
  <c r="P297" i="25"/>
  <c r="AL347" i="25"/>
  <c r="AC347" i="25"/>
  <c r="W316" i="25"/>
  <c r="Z316" i="25" s="1"/>
  <c r="P227" i="25"/>
  <c r="P237" i="25"/>
  <c r="AP18" i="25"/>
  <c r="C332" i="25" s="1"/>
  <c r="AP30" i="25"/>
  <c r="L332" i="25" s="1"/>
  <c r="AP8" i="25"/>
  <c r="AP20" i="25"/>
  <c r="AP13" i="25"/>
  <c r="C272" i="25" s="1"/>
  <c r="AP25" i="25"/>
  <c r="L272" i="25" s="1"/>
  <c r="N19" i="23"/>
  <c r="AP184" i="25"/>
  <c r="S317" i="25" s="1"/>
  <c r="U317" i="25" s="1"/>
  <c r="N16" i="23"/>
  <c r="AP181" i="25"/>
  <c r="S277" i="25" s="1"/>
  <c r="U277" i="25" s="1"/>
  <c r="N21" i="23"/>
  <c r="AP186" i="25"/>
  <c r="S337" i="25" s="1"/>
  <c r="U337" i="25" s="1"/>
  <c r="N13" i="23"/>
  <c r="AP178" i="25"/>
  <c r="S247" i="25" s="1"/>
  <c r="U247" i="25" s="1"/>
  <c r="M12" i="23"/>
  <c r="S236" i="25"/>
  <c r="U236" i="25" s="1"/>
  <c r="M15" i="23"/>
  <c r="S266" i="25"/>
  <c r="M18" i="23"/>
  <c r="S306" i="25"/>
  <c r="U306" i="25" s="1"/>
  <c r="M20" i="23"/>
  <c r="H48" i="23" s="1"/>
  <c r="S326" i="25"/>
  <c r="U326" i="25" s="1"/>
  <c r="M14" i="23"/>
  <c r="S256" i="25"/>
  <c r="U256" i="25" s="1"/>
  <c r="M17" i="23"/>
  <c r="S296" i="25"/>
  <c r="U296" i="25" s="1"/>
  <c r="K17" i="23"/>
  <c r="AP146" i="25"/>
  <c r="S294" i="25" s="1"/>
  <c r="K15" i="23"/>
  <c r="AP144" i="25"/>
  <c r="S264" i="25" s="1"/>
  <c r="K19" i="23"/>
  <c r="AP148" i="25"/>
  <c r="S314" i="25" s="1"/>
  <c r="U314" i="25" s="1"/>
  <c r="K13" i="23"/>
  <c r="AP142" i="25"/>
  <c r="S244" i="25" s="1"/>
  <c r="K12" i="23"/>
  <c r="AP141" i="25"/>
  <c r="I20" i="23"/>
  <c r="AP77" i="25"/>
  <c r="P327" i="25" s="1"/>
  <c r="CQ270" i="7"/>
  <c r="AP37" i="25"/>
  <c r="F21" i="23"/>
  <c r="AP42" i="25"/>
  <c r="P334" i="25" s="1"/>
  <c r="CQ265" i="7"/>
  <c r="AP140" i="25" s="1"/>
  <c r="AP32" i="25"/>
  <c r="P234" i="25" s="1"/>
  <c r="CQ113" i="7"/>
  <c r="CT136" i="7"/>
  <c r="CT104" i="7"/>
  <c r="CT132" i="7"/>
  <c r="DD267" i="7"/>
  <c r="DF267" i="7" s="1"/>
  <c r="CS259" i="7"/>
  <c r="CK270" i="7"/>
  <c r="DC270" i="7"/>
  <c r="DD269" i="7"/>
  <c r="DF269" i="7" s="1"/>
  <c r="CK271" i="7"/>
  <c r="DC271" i="7"/>
  <c r="CK266" i="7"/>
  <c r="DC266" i="7"/>
  <c r="DD273" i="7"/>
  <c r="DF273" i="7" s="1"/>
  <c r="DE268" i="7"/>
  <c r="DD268" i="7"/>
  <c r="CC272" i="7"/>
  <c r="DC272" i="7"/>
  <c r="CK275" i="7"/>
  <c r="DC275" i="7"/>
  <c r="CB274" i="7"/>
  <c r="DC274" i="7"/>
  <c r="CA265" i="7"/>
  <c r="DE265" i="7" s="1"/>
  <c r="CA275" i="7"/>
  <c r="CA270" i="7"/>
  <c r="CT121" i="7"/>
  <c r="CC271" i="7"/>
  <c r="CT203" i="7"/>
  <c r="CB272" i="7"/>
  <c r="CE272" i="7"/>
  <c r="CK272" i="7"/>
  <c r="CT129" i="7"/>
  <c r="CT128" i="7"/>
  <c r="CT115" i="7"/>
  <c r="CT260" i="7"/>
  <c r="CD272" i="7"/>
  <c r="CE265" i="7"/>
  <c r="CK265" i="7"/>
  <c r="AP80" i="25" s="1"/>
  <c r="AU229" i="25" s="1"/>
  <c r="CD265" i="7"/>
  <c r="CE271" i="7"/>
  <c r="CV276" i="7"/>
  <c r="CP276" i="7"/>
  <c r="CU276" i="7" s="1"/>
  <c r="F16" i="23"/>
  <c r="CC265" i="7"/>
  <c r="CC275" i="7"/>
  <c r="CB271" i="7"/>
  <c r="CD275" i="7"/>
  <c r="CE266" i="7"/>
  <c r="CB266" i="7"/>
  <c r="CE268" i="7"/>
  <c r="CB268" i="7"/>
  <c r="CC268" i="7"/>
  <c r="CK268" i="7"/>
  <c r="CK274" i="7"/>
  <c r="J20" i="23" s="1"/>
  <c r="CX276" i="7"/>
  <c r="CD268" i="7"/>
  <c r="CC266" i="7"/>
  <c r="CD266" i="7"/>
  <c r="CT119" i="7"/>
  <c r="CC274" i="7"/>
  <c r="CT120" i="7"/>
  <c r="CS251" i="7"/>
  <c r="CE275" i="7"/>
  <c r="CB275" i="7"/>
  <c r="CE274" i="7"/>
  <c r="CY276" i="7"/>
  <c r="CB270" i="7"/>
  <c r="CB265" i="7"/>
  <c r="CE270" i="7"/>
  <c r="CC270" i="7"/>
  <c r="CD270" i="7"/>
  <c r="CQ275" i="7"/>
  <c r="CT126" i="7"/>
  <c r="CT118" i="7"/>
  <c r="CT263" i="7"/>
  <c r="CT262" i="7"/>
  <c r="CT122" i="7"/>
  <c r="CT116" i="7"/>
  <c r="CT261" i="7"/>
  <c r="CT125" i="7"/>
  <c r="CT123" i="7"/>
  <c r="CT135" i="7"/>
  <c r="CT127" i="7"/>
  <c r="CT133" i="7"/>
  <c r="CT131" i="7"/>
  <c r="CT266" i="7"/>
  <c r="I12" i="23"/>
  <c r="CT268" i="7"/>
  <c r="I14" i="23"/>
  <c r="CT271" i="7"/>
  <c r="I17" i="23"/>
  <c r="CT269" i="7"/>
  <c r="I15" i="23"/>
  <c r="CT272" i="7"/>
  <c r="I18" i="23"/>
  <c r="F48" i="23"/>
  <c r="H49" i="23"/>
  <c r="CT274" i="7"/>
  <c r="CF269" i="7"/>
  <c r="CF267" i="7"/>
  <c r="CT105" i="7"/>
  <c r="CT109" i="7"/>
  <c r="CT117" i="7"/>
  <c r="CT134" i="7"/>
  <c r="CT124" i="7"/>
  <c r="CT158" i="7"/>
  <c r="CT130" i="7"/>
  <c r="CD274" i="7"/>
  <c r="CD271" i="7"/>
  <c r="CF273" i="7"/>
  <c r="BO211" i="7"/>
  <c r="CN211" i="7" s="1"/>
  <c r="CS211" i="7" s="1"/>
  <c r="BO212" i="7"/>
  <c r="CN212" i="7" s="1"/>
  <c r="CS212" i="7" s="1"/>
  <c r="BO203" i="7"/>
  <c r="CN203" i="7" s="1"/>
  <c r="CS203" i="7" s="1"/>
  <c r="BO205" i="7"/>
  <c r="CN205" i="7" s="1"/>
  <c r="CS205" i="7" s="1"/>
  <c r="BO239" i="7"/>
  <c r="CN239" i="7" s="1"/>
  <c r="CS239" i="7" s="1"/>
  <c r="BO262" i="7"/>
  <c r="CN262" i="7" s="1"/>
  <c r="CS262" i="7" s="1"/>
  <c r="BO208" i="7"/>
  <c r="CN208" i="7" s="1"/>
  <c r="CS208" i="7" s="1"/>
  <c r="BO158" i="7"/>
  <c r="CN158" i="7" s="1"/>
  <c r="CS158" i="7" s="1"/>
  <c r="BO159" i="7"/>
  <c r="CN159" i="7" s="1"/>
  <c r="CS159" i="7" s="1"/>
  <c r="BO115" i="7"/>
  <c r="CN115" i="7" s="1"/>
  <c r="CS115" i="7" s="1"/>
  <c r="BO166" i="7"/>
  <c r="CN166" i="7" s="1"/>
  <c r="CS166" i="7" s="1"/>
  <c r="BO243" i="7"/>
  <c r="CN243" i="7" s="1"/>
  <c r="CS243" i="7" s="1"/>
  <c r="BO162" i="7"/>
  <c r="CN162" i="7" s="1"/>
  <c r="CS162" i="7" s="1"/>
  <c r="BO163" i="7"/>
  <c r="CN163" i="7" s="1"/>
  <c r="CS163" i="7" s="1"/>
  <c r="BO244" i="7"/>
  <c r="CN244" i="7" s="1"/>
  <c r="CS244" i="7" s="1"/>
  <c r="BO237" i="7"/>
  <c r="CN237" i="7" s="1"/>
  <c r="CS237" i="7" s="1"/>
  <c r="BO129" i="7"/>
  <c r="CN129" i="7" s="1"/>
  <c r="CS129" i="7" s="1"/>
  <c r="BO207" i="7"/>
  <c r="CN207" i="7" s="1"/>
  <c r="CS207" i="7" s="1"/>
  <c r="BO132" i="7"/>
  <c r="CN132" i="7" s="1"/>
  <c r="CS132" i="7" s="1"/>
  <c r="BO122" i="7"/>
  <c r="CN122" i="7" s="1"/>
  <c r="CS122" i="7" s="1"/>
  <c r="BO117" i="7"/>
  <c r="CN117" i="7" s="1"/>
  <c r="CS117" i="7" s="1"/>
  <c r="BO114" i="7"/>
  <c r="CN114" i="7" s="1"/>
  <c r="CS114" i="7" s="1"/>
  <c r="BO206" i="7"/>
  <c r="CN206" i="7" s="1"/>
  <c r="CS206" i="7" s="1"/>
  <c r="BO238" i="7"/>
  <c r="CN238" i="7" s="1"/>
  <c r="CS238" i="7" s="1"/>
  <c r="BO167" i="7"/>
  <c r="CN167" i="7" s="1"/>
  <c r="CS167" i="7" s="1"/>
  <c r="BO240" i="7"/>
  <c r="CN240" i="7" s="1"/>
  <c r="CS240" i="7" s="1"/>
  <c r="BO104" i="7"/>
  <c r="CN104" i="7" s="1"/>
  <c r="CS104" i="7" s="1"/>
  <c r="BO209" i="7"/>
  <c r="CN209" i="7" s="1"/>
  <c r="CS209" i="7" s="1"/>
  <c r="BO241" i="7"/>
  <c r="CN241" i="7" s="1"/>
  <c r="CS241" i="7" s="1"/>
  <c r="BO160" i="7"/>
  <c r="CN160" i="7" s="1"/>
  <c r="CS160" i="7" s="1"/>
  <c r="BO119" i="7"/>
  <c r="CN119" i="7" s="1"/>
  <c r="CS119" i="7" s="1"/>
  <c r="BO126" i="7"/>
  <c r="CN126" i="7" s="1"/>
  <c r="CS126" i="7" s="1"/>
  <c r="BO134" i="7"/>
  <c r="CN134" i="7" s="1"/>
  <c r="CS134" i="7" s="1"/>
  <c r="BO245" i="7"/>
  <c r="CN245" i="7" s="1"/>
  <c r="CS245" i="7" s="1"/>
  <c r="BO164" i="7"/>
  <c r="CN164" i="7" s="1"/>
  <c r="CS164" i="7" s="1"/>
  <c r="BO116" i="7"/>
  <c r="CN116" i="7" s="1"/>
  <c r="CS116" i="7" s="1"/>
  <c r="BO110" i="7"/>
  <c r="CN110" i="7" s="1"/>
  <c r="CS110" i="7" s="1"/>
  <c r="BO123" i="7"/>
  <c r="CN123" i="7" s="1"/>
  <c r="CS123" i="7" s="1"/>
  <c r="BO111" i="7"/>
  <c r="CN111" i="7" s="1"/>
  <c r="CS111" i="7" s="1"/>
  <c r="BO135" i="7"/>
  <c r="CN135" i="7" s="1"/>
  <c r="CS135" i="7" s="1"/>
  <c r="BO112" i="7"/>
  <c r="CN112" i="7" s="1"/>
  <c r="CS112" i="7" s="1"/>
  <c r="BO121" i="7"/>
  <c r="CN121" i="7" s="1"/>
  <c r="CS121" i="7" s="1"/>
  <c r="BO136" i="7"/>
  <c r="CN136" i="7" s="1"/>
  <c r="CS136" i="7" s="1"/>
  <c r="BO210" i="7"/>
  <c r="CN210" i="7" s="1"/>
  <c r="CS210" i="7" s="1"/>
  <c r="BO130" i="7"/>
  <c r="CN130" i="7" s="1"/>
  <c r="CS130" i="7" s="1"/>
  <c r="BO118" i="7"/>
  <c r="CN118" i="7" s="1"/>
  <c r="CS118" i="7" s="1"/>
  <c r="BO161" i="7"/>
  <c r="CN161" i="7" s="1"/>
  <c r="CS161" i="7" s="1"/>
  <c r="BO131" i="7"/>
  <c r="CN131" i="7" s="1"/>
  <c r="CS131" i="7" s="1"/>
  <c r="BO109" i="7"/>
  <c r="CN109" i="7" s="1"/>
  <c r="CS109" i="7" s="1"/>
  <c r="BO236" i="7"/>
  <c r="CN236" i="7" s="1"/>
  <c r="CS236" i="7" s="1"/>
  <c r="BO260" i="7"/>
  <c r="CN260" i="7" s="1"/>
  <c r="CS260" i="7" s="1"/>
  <c r="BO120" i="7"/>
  <c r="CN120" i="7" s="1"/>
  <c r="CS120" i="7" s="1"/>
  <c r="BO105" i="7"/>
  <c r="CN105" i="7" s="1"/>
  <c r="CS105" i="7" s="1"/>
  <c r="BO127" i="7"/>
  <c r="CN127" i="7" s="1"/>
  <c r="CS127" i="7" s="1"/>
  <c r="BO128" i="7"/>
  <c r="CN128" i="7" s="1"/>
  <c r="CS128" i="7" s="1"/>
  <c r="BO124" i="7"/>
  <c r="CN124" i="7" s="1"/>
  <c r="CS124" i="7" s="1"/>
  <c r="BO242" i="7"/>
  <c r="CN242" i="7" s="1"/>
  <c r="CS242" i="7" s="1"/>
  <c r="BO133" i="7"/>
  <c r="CN133" i="7" s="1"/>
  <c r="CS133" i="7" s="1"/>
  <c r="BO165" i="7"/>
  <c r="CN165" i="7" s="1"/>
  <c r="CS165" i="7" s="1"/>
  <c r="BO261" i="7"/>
  <c r="CN261" i="7" s="1"/>
  <c r="CS261" i="7" s="1"/>
  <c r="BO263" i="7"/>
  <c r="CN263" i="7" s="1"/>
  <c r="CS263" i="7" s="1"/>
  <c r="BO204" i="7"/>
  <c r="CN204" i="7" s="1"/>
  <c r="CS204" i="7" s="1"/>
  <c r="U244" i="25" l="1"/>
  <c r="P299" i="25"/>
  <c r="U266" i="25"/>
  <c r="U264" i="25"/>
  <c r="J16" i="23"/>
  <c r="AP85" i="25"/>
  <c r="AU279" i="25" s="1"/>
  <c r="J14" i="23"/>
  <c r="AP83" i="25"/>
  <c r="AU259" i="25" s="1"/>
  <c r="J18" i="23"/>
  <c r="AP87" i="25"/>
  <c r="AU309" i="25" s="1"/>
  <c r="J12" i="23"/>
  <c r="AP81" i="25"/>
  <c r="AU239" i="25" s="1"/>
  <c r="AP89" i="25"/>
  <c r="AU329" i="25" s="1"/>
  <c r="J21" i="23"/>
  <c r="AP90" i="25"/>
  <c r="AU339" i="25" s="1"/>
  <c r="J17" i="23"/>
  <c r="AP86" i="25"/>
  <c r="AU299" i="25" s="1"/>
  <c r="U294" i="25"/>
  <c r="W296" i="25"/>
  <c r="Z296" i="25" s="1"/>
  <c r="AL296" i="25" s="1"/>
  <c r="Z306" i="25"/>
  <c r="AL344" i="25"/>
  <c r="AC344" i="25"/>
  <c r="Z349" i="25"/>
  <c r="AC349" i="25" s="1"/>
  <c r="P259" i="25"/>
  <c r="P274" i="25"/>
  <c r="AL315" i="25"/>
  <c r="AC315" i="25"/>
  <c r="P298" i="25"/>
  <c r="W294" i="25"/>
  <c r="Z294" i="25" s="1"/>
  <c r="W295" i="25"/>
  <c r="Z295" i="25" s="1"/>
  <c r="W256" i="25"/>
  <c r="Z256" i="25" s="1"/>
  <c r="AL316" i="25"/>
  <c r="AC316" i="25"/>
  <c r="Z317" i="25"/>
  <c r="W265" i="25"/>
  <c r="Z265" i="25" s="1"/>
  <c r="P268" i="25"/>
  <c r="W264" i="25"/>
  <c r="Z264" i="25" s="1"/>
  <c r="P269" i="25"/>
  <c r="W257" i="25"/>
  <c r="W324" i="25"/>
  <c r="Z324" i="25" s="1"/>
  <c r="W325" i="25"/>
  <c r="Z325" i="25" s="1"/>
  <c r="W326" i="25"/>
  <c r="Z326" i="25" s="1"/>
  <c r="P329" i="25"/>
  <c r="W327" i="25"/>
  <c r="P328" i="25"/>
  <c r="W297" i="25"/>
  <c r="AL304" i="25"/>
  <c r="AC304" i="25"/>
  <c r="W267" i="25"/>
  <c r="W255" i="25"/>
  <c r="Z255" i="25" s="1"/>
  <c r="W254" i="25"/>
  <c r="Z254" i="25" s="1"/>
  <c r="AC305" i="25"/>
  <c r="AL305" i="25"/>
  <c r="P248" i="25"/>
  <c r="W244" i="25"/>
  <c r="Z244" i="25" s="1"/>
  <c r="W245" i="25"/>
  <c r="Z245" i="25" s="1"/>
  <c r="W246" i="25"/>
  <c r="Z246" i="25" s="1"/>
  <c r="P249" i="25"/>
  <c r="W247" i="25"/>
  <c r="Z247" i="25" s="1"/>
  <c r="P338" i="25"/>
  <c r="W334" i="25"/>
  <c r="W335" i="25"/>
  <c r="Z335" i="25" s="1"/>
  <c r="P339" i="25"/>
  <c r="W336" i="25"/>
  <c r="Z336" i="25" s="1"/>
  <c r="W337" i="25"/>
  <c r="Z337" i="25" s="1"/>
  <c r="Z314" i="25"/>
  <c r="W266" i="25"/>
  <c r="Z266" i="25" s="1"/>
  <c r="W234" i="25"/>
  <c r="S234" i="25"/>
  <c r="U234" i="25" s="1"/>
  <c r="C222" i="25"/>
  <c r="C232" i="25"/>
  <c r="W237" i="25"/>
  <c r="P238" i="25"/>
  <c r="W235" i="25"/>
  <c r="Z235" i="25" s="1"/>
  <c r="AL235" i="25" s="1"/>
  <c r="P239" i="25"/>
  <c r="W236" i="25"/>
  <c r="Z236" i="25" s="1"/>
  <c r="AL236" i="25" s="1"/>
  <c r="L222" i="25"/>
  <c r="L232" i="25"/>
  <c r="S224" i="25"/>
  <c r="S226" i="25"/>
  <c r="U226" i="25" s="1"/>
  <c r="S225" i="25"/>
  <c r="U225" i="25" s="1"/>
  <c r="S227" i="25"/>
  <c r="U227" i="25" s="1"/>
  <c r="O22" i="23"/>
  <c r="AP199" i="25"/>
  <c r="AW349" i="25" s="1"/>
  <c r="N15" i="23"/>
  <c r="AP180" i="25"/>
  <c r="S267" i="25" s="1"/>
  <c r="U267" i="25" s="1"/>
  <c r="N20" i="23"/>
  <c r="AP185" i="25"/>
  <c r="S327" i="25" s="1"/>
  <c r="U327" i="25" s="1"/>
  <c r="N17" i="23"/>
  <c r="AP182" i="25"/>
  <c r="S297" i="25" s="1"/>
  <c r="U297" i="25" s="1"/>
  <c r="N14" i="23"/>
  <c r="AP179" i="25"/>
  <c r="S257" i="25" s="1"/>
  <c r="U257" i="25" s="1"/>
  <c r="N18" i="23"/>
  <c r="AP183" i="25"/>
  <c r="S307" i="25" s="1"/>
  <c r="U307" i="25" s="1"/>
  <c r="N12" i="23"/>
  <c r="AP177" i="25"/>
  <c r="S237" i="25" s="1"/>
  <c r="U237" i="25" s="1"/>
  <c r="K21" i="23"/>
  <c r="F49" i="23" s="1"/>
  <c r="AP150" i="25"/>
  <c r="S334" i="25" s="1"/>
  <c r="U334" i="25" s="1"/>
  <c r="K16" i="23"/>
  <c r="AP145" i="25"/>
  <c r="S274" i="25" s="1"/>
  <c r="R224" i="25"/>
  <c r="R225" i="25"/>
  <c r="R226" i="25"/>
  <c r="R227" i="25"/>
  <c r="P224" i="25"/>
  <c r="DD275" i="7"/>
  <c r="DE275" i="7"/>
  <c r="DE266" i="7"/>
  <c r="DD266" i="7"/>
  <c r="DE272" i="7"/>
  <c r="DD272" i="7"/>
  <c r="DE271" i="7"/>
  <c r="DD271" i="7"/>
  <c r="DD265" i="7"/>
  <c r="DF265" i="7" s="1"/>
  <c r="DE274" i="7"/>
  <c r="DD274" i="7"/>
  <c r="DF268" i="7"/>
  <c r="DD270" i="7"/>
  <c r="DE270" i="7"/>
  <c r="CF272" i="7"/>
  <c r="CW272" i="7" s="1"/>
  <c r="CF271" i="7"/>
  <c r="CW271" i="7" s="1"/>
  <c r="CF265" i="7"/>
  <c r="CP265" i="7" s="1"/>
  <c r="CU265" i="7" s="1"/>
  <c r="AP188" i="25" s="1"/>
  <c r="CF266" i="7"/>
  <c r="CP266" i="7" s="1"/>
  <c r="CU266" i="7" s="1"/>
  <c r="CF275" i="7"/>
  <c r="CV275" i="7" s="1"/>
  <c r="CF270" i="7"/>
  <c r="CV270" i="7" s="1"/>
  <c r="CF268" i="7"/>
  <c r="CX268" i="7" s="1"/>
  <c r="CF274" i="7"/>
  <c r="CV274" i="7" s="1"/>
  <c r="I49" i="23"/>
  <c r="I48" i="23"/>
  <c r="CW269" i="7"/>
  <c r="CP269" i="7"/>
  <c r="CU269" i="7" s="1"/>
  <c r="CV269" i="7"/>
  <c r="CX269" i="7"/>
  <c r="CY269" i="7"/>
  <c r="CV267" i="7"/>
  <c r="CW267" i="7"/>
  <c r="CY267" i="7"/>
  <c r="CP267" i="7"/>
  <c r="CU267" i="7" s="1"/>
  <c r="CX267" i="7"/>
  <c r="CP273" i="7"/>
  <c r="CU273" i="7" s="1"/>
  <c r="CV273" i="7"/>
  <c r="CW273" i="7"/>
  <c r="CX273" i="7"/>
  <c r="CY273" i="7"/>
  <c r="AK263" i="7"/>
  <c r="AA263" i="7"/>
  <c r="F263" i="7"/>
  <c r="AK262" i="7"/>
  <c r="AA262" i="7"/>
  <c r="F262" i="7"/>
  <c r="AK181" i="7"/>
  <c r="AA181" i="7"/>
  <c r="F181" i="7"/>
  <c r="AK180" i="7"/>
  <c r="AA180" i="7"/>
  <c r="F180" i="7"/>
  <c r="U274" i="25" l="1"/>
  <c r="AC296" i="25"/>
  <c r="AL245" i="25"/>
  <c r="AC245" i="25"/>
  <c r="Z307" i="25"/>
  <c r="Z327" i="25"/>
  <c r="Z329" i="25" s="1"/>
  <c r="AC329" i="25" s="1"/>
  <c r="AC294" i="25"/>
  <c r="AL294" i="25"/>
  <c r="AL335" i="25"/>
  <c r="AC335" i="25"/>
  <c r="AC244" i="25"/>
  <c r="AL244" i="25"/>
  <c r="AC255" i="25"/>
  <c r="AL255" i="25"/>
  <c r="Z334" i="25"/>
  <c r="Z267" i="25"/>
  <c r="AC326" i="25"/>
  <c r="AL326" i="25"/>
  <c r="AL265" i="25"/>
  <c r="AC265" i="25"/>
  <c r="AL349" i="25"/>
  <c r="AE344" i="25" s="1"/>
  <c r="Z249" i="25"/>
  <c r="AC249" i="25" s="1"/>
  <c r="AL325" i="25"/>
  <c r="AC325" i="25"/>
  <c r="AL317" i="25"/>
  <c r="AC317" i="25"/>
  <c r="AL266" i="25"/>
  <c r="AC266" i="25"/>
  <c r="AL324" i="25"/>
  <c r="AC324" i="25"/>
  <c r="AL306" i="25"/>
  <c r="AC306" i="25"/>
  <c r="AL314" i="25"/>
  <c r="AC314" i="25"/>
  <c r="Z319" i="25"/>
  <c r="AC319" i="25" s="1"/>
  <c r="AC247" i="25"/>
  <c r="AL247" i="25"/>
  <c r="Z257" i="25"/>
  <c r="Z259" i="25" s="1"/>
  <c r="AC259" i="25" s="1"/>
  <c r="P278" i="25"/>
  <c r="W274" i="25"/>
  <c r="Z274" i="25" s="1"/>
  <c r="W275" i="25"/>
  <c r="Z275" i="25" s="1"/>
  <c r="P279" i="25"/>
  <c r="W276" i="25"/>
  <c r="Z276" i="25" s="1"/>
  <c r="W277" i="25"/>
  <c r="Z277" i="25" s="1"/>
  <c r="AC337" i="25"/>
  <c r="AL337" i="25"/>
  <c r="Z297" i="25"/>
  <c r="AL256" i="25"/>
  <c r="AC256" i="25"/>
  <c r="AL336" i="25"/>
  <c r="AC336" i="25"/>
  <c r="AL246" i="25"/>
  <c r="AC246" i="25"/>
  <c r="AL254" i="25"/>
  <c r="AC254" i="25"/>
  <c r="AL264" i="25"/>
  <c r="AC264" i="25"/>
  <c r="AL295" i="25"/>
  <c r="AC295" i="25"/>
  <c r="Z234" i="25"/>
  <c r="AL234" i="25" s="1"/>
  <c r="P229" i="25"/>
  <c r="W224" i="25"/>
  <c r="Z237" i="25"/>
  <c r="AC235" i="25"/>
  <c r="AW229" i="25"/>
  <c r="AC236" i="25"/>
  <c r="O12" i="23"/>
  <c r="AP189" i="25"/>
  <c r="AW239" i="25" s="1"/>
  <c r="W227" i="25"/>
  <c r="Z227" i="25" s="1"/>
  <c r="O13" i="23"/>
  <c r="AP190" i="25"/>
  <c r="AW249" i="25" s="1"/>
  <c r="O15" i="23"/>
  <c r="AP192" i="25"/>
  <c r="AW269" i="25" s="1"/>
  <c r="O19" i="23"/>
  <c r="AP196" i="25"/>
  <c r="AW319" i="25" s="1"/>
  <c r="P228" i="25"/>
  <c r="U224" i="25"/>
  <c r="W225" i="25"/>
  <c r="Z225" i="25" s="1"/>
  <c r="AL225" i="25" s="1"/>
  <c r="W226" i="25"/>
  <c r="Z226" i="25" s="1"/>
  <c r="AL226" i="25" s="1"/>
  <c r="DF271" i="7"/>
  <c r="DF274" i="7"/>
  <c r="DF270" i="7"/>
  <c r="DF272" i="7"/>
  <c r="DF266" i="7"/>
  <c r="DF275" i="7"/>
  <c r="CP272" i="7"/>
  <c r="CU272" i="7" s="1"/>
  <c r="CY272" i="7"/>
  <c r="CV272" i="7"/>
  <c r="CX272" i="7"/>
  <c r="CV265" i="7"/>
  <c r="CY265" i="7"/>
  <c r="CW265" i="7"/>
  <c r="CX265" i="7"/>
  <c r="CP271" i="7"/>
  <c r="CU271" i="7" s="1"/>
  <c r="CX266" i="7"/>
  <c r="CX271" i="7"/>
  <c r="CY271" i="7"/>
  <c r="CV271" i="7"/>
  <c r="CV266" i="7"/>
  <c r="CY266" i="7"/>
  <c r="CW266" i="7"/>
  <c r="CY270" i="7"/>
  <c r="CP270" i="7"/>
  <c r="CU270" i="7" s="1"/>
  <c r="CW270" i="7"/>
  <c r="CX274" i="7"/>
  <c r="CW274" i="7"/>
  <c r="CX270" i="7"/>
  <c r="CV268" i="7"/>
  <c r="CW275" i="7"/>
  <c r="CX275" i="7"/>
  <c r="CP275" i="7"/>
  <c r="CU275" i="7" s="1"/>
  <c r="CY275" i="7"/>
  <c r="CW268" i="7"/>
  <c r="CY268" i="7"/>
  <c r="CP268" i="7"/>
  <c r="CU268" i="7" s="1"/>
  <c r="CP274" i="7"/>
  <c r="CU274" i="7" s="1"/>
  <c r="CY274" i="7"/>
  <c r="C262" i="7"/>
  <c r="C263" i="7"/>
  <c r="C180" i="7"/>
  <c r="C181" i="7"/>
  <c r="AQ181" i="7"/>
  <c r="AR181" i="7" s="1"/>
  <c r="AS181" i="7" s="1"/>
  <c r="AL181" i="7"/>
  <c r="AQ180" i="7"/>
  <c r="AR180" i="7" s="1"/>
  <c r="AS180" i="7" s="1"/>
  <c r="AL180" i="7"/>
  <c r="AB263" i="7"/>
  <c r="AT263" i="7"/>
  <c r="AU263" i="7" s="1"/>
  <c r="AV263" i="7" s="1"/>
  <c r="AB180" i="7"/>
  <c r="AT180" i="7"/>
  <c r="AU180" i="7" s="1"/>
  <c r="AV180" i="7" s="1"/>
  <c r="AQ263" i="7"/>
  <c r="AR263" i="7" s="1"/>
  <c r="AS263" i="7" s="1"/>
  <c r="AL263" i="7"/>
  <c r="AB181" i="7"/>
  <c r="AT181" i="7"/>
  <c r="AU181" i="7" s="1"/>
  <c r="AV181" i="7" s="1"/>
  <c r="AB262" i="7"/>
  <c r="AT262" i="7"/>
  <c r="AU262" i="7" s="1"/>
  <c r="AV262" i="7" s="1"/>
  <c r="AQ262" i="7"/>
  <c r="AR262" i="7" s="1"/>
  <c r="AS262" i="7" s="1"/>
  <c r="AL262" i="7"/>
  <c r="AY262" i="7"/>
  <c r="AY263" i="7"/>
  <c r="AK249" i="7"/>
  <c r="AA249" i="7"/>
  <c r="F249" i="7"/>
  <c r="AK248" i="7"/>
  <c r="AA248" i="7"/>
  <c r="F248" i="7"/>
  <c r="AK247" i="7"/>
  <c r="AA247" i="7"/>
  <c r="F247" i="7"/>
  <c r="AK246" i="7"/>
  <c r="AA246" i="7"/>
  <c r="F246" i="7"/>
  <c r="AK245" i="7"/>
  <c r="AA245" i="7"/>
  <c r="AK244" i="7"/>
  <c r="AA244" i="7"/>
  <c r="AK243" i="7"/>
  <c r="AA243" i="7"/>
  <c r="AK242" i="7"/>
  <c r="AA242" i="7"/>
  <c r="AK241" i="7"/>
  <c r="AA241" i="7"/>
  <c r="AK240" i="7"/>
  <c r="AA240" i="7"/>
  <c r="AK239" i="7"/>
  <c r="AA239" i="7"/>
  <c r="AK238" i="7"/>
  <c r="AA238" i="7"/>
  <c r="AK237" i="7"/>
  <c r="AA237" i="7"/>
  <c r="V237" i="7"/>
  <c r="AK236" i="7"/>
  <c r="AA236" i="7"/>
  <c r="F236" i="7"/>
  <c r="AK235" i="7"/>
  <c r="AA235" i="7"/>
  <c r="F235" i="7"/>
  <c r="AK234" i="7"/>
  <c r="AA234" i="7"/>
  <c r="AK233" i="7"/>
  <c r="AA233" i="7"/>
  <c r="AK232" i="7"/>
  <c r="AA232" i="7"/>
  <c r="AK231" i="7"/>
  <c r="AA231" i="7"/>
  <c r="AK230" i="7"/>
  <c r="AA230" i="7"/>
  <c r="AK229" i="7"/>
  <c r="AA229" i="7"/>
  <c r="AK228" i="7"/>
  <c r="AA228" i="7"/>
  <c r="AK227" i="7"/>
  <c r="AA227" i="7"/>
  <c r="S227" i="7"/>
  <c r="AK226" i="7"/>
  <c r="AA226" i="7"/>
  <c r="F226" i="7"/>
  <c r="AK225" i="7"/>
  <c r="AA225" i="7"/>
  <c r="F225" i="7"/>
  <c r="AK224" i="7"/>
  <c r="AA224" i="7"/>
  <c r="F224" i="7"/>
  <c r="AK223" i="7"/>
  <c r="AA223" i="7"/>
  <c r="F223" i="7"/>
  <c r="AK222" i="7"/>
  <c r="AA222" i="7"/>
  <c r="AK221" i="7"/>
  <c r="AA221" i="7"/>
  <c r="AK220" i="7"/>
  <c r="AA220" i="7"/>
  <c r="AK219" i="7"/>
  <c r="AA219" i="7"/>
  <c r="AK218" i="7"/>
  <c r="AA218" i="7"/>
  <c r="AK217" i="7"/>
  <c r="AA217" i="7"/>
  <c r="AK216" i="7"/>
  <c r="AA216" i="7"/>
  <c r="F216" i="7"/>
  <c r="AK215" i="7"/>
  <c r="AA215" i="7"/>
  <c r="F215" i="7"/>
  <c r="AK214" i="7"/>
  <c r="AA214" i="7"/>
  <c r="F214" i="7"/>
  <c r="AK213" i="7"/>
  <c r="AA213" i="7"/>
  <c r="F213" i="7"/>
  <c r="AK212" i="7"/>
  <c r="AA212" i="7"/>
  <c r="AK211" i="7"/>
  <c r="AA211" i="7"/>
  <c r="AK210" i="7"/>
  <c r="AA210" i="7"/>
  <c r="AK209" i="7"/>
  <c r="AA209" i="7"/>
  <c r="AK208" i="7"/>
  <c r="AA208" i="7"/>
  <c r="AK207" i="7"/>
  <c r="AA207" i="7"/>
  <c r="AK206" i="7"/>
  <c r="AA206" i="7"/>
  <c r="AK205" i="7"/>
  <c r="AA205" i="7"/>
  <c r="AK204" i="7"/>
  <c r="AA204" i="7"/>
  <c r="V204" i="7"/>
  <c r="AK203" i="7"/>
  <c r="AA203" i="7"/>
  <c r="F203" i="7"/>
  <c r="AK202" i="7"/>
  <c r="AA202" i="7"/>
  <c r="F202" i="7"/>
  <c r="AK201" i="7"/>
  <c r="AA201" i="7"/>
  <c r="AK200" i="7"/>
  <c r="AA200" i="7"/>
  <c r="AK199" i="7"/>
  <c r="AA199" i="7"/>
  <c r="AK198" i="7"/>
  <c r="AA198" i="7"/>
  <c r="AK197" i="7"/>
  <c r="AA197" i="7"/>
  <c r="AK196" i="7"/>
  <c r="AA196" i="7"/>
  <c r="AK195" i="7"/>
  <c r="AA195" i="7"/>
  <c r="AK194" i="7"/>
  <c r="AA194" i="7"/>
  <c r="S194" i="7"/>
  <c r="AK193" i="7"/>
  <c r="AA193" i="7"/>
  <c r="F193" i="7"/>
  <c r="AK192" i="7"/>
  <c r="AA192" i="7"/>
  <c r="F192" i="7"/>
  <c r="AK191" i="7"/>
  <c r="AA191" i="7"/>
  <c r="F191" i="7"/>
  <c r="AK190" i="7"/>
  <c r="AA190" i="7"/>
  <c r="F190" i="7"/>
  <c r="AK189" i="7"/>
  <c r="AA189" i="7"/>
  <c r="AK188" i="7"/>
  <c r="AA188" i="7"/>
  <c r="AK187" i="7"/>
  <c r="AA187" i="7"/>
  <c r="AK186" i="7"/>
  <c r="AA186" i="7"/>
  <c r="AK185" i="7"/>
  <c r="AA185" i="7"/>
  <c r="AK184" i="7"/>
  <c r="AA184" i="7"/>
  <c r="F259" i="7"/>
  <c r="F258" i="7"/>
  <c r="F257" i="7"/>
  <c r="F256" i="7"/>
  <c r="F138" i="7"/>
  <c r="F137" i="7"/>
  <c r="F168" i="7"/>
  <c r="F157" i="7"/>
  <c r="F148" i="7"/>
  <c r="F147" i="7"/>
  <c r="F146" i="7"/>
  <c r="F145" i="7"/>
  <c r="F169" i="7"/>
  <c r="F158" i="7"/>
  <c r="AL274" i="25" l="1"/>
  <c r="AC274" i="25"/>
  <c r="AC297" i="25"/>
  <c r="AL297" i="25"/>
  <c r="AL267" i="25"/>
  <c r="AC267" i="25"/>
  <c r="Z279" i="25"/>
  <c r="AC279" i="25" s="1"/>
  <c r="AC334" i="25"/>
  <c r="AL334" i="25"/>
  <c r="Z339" i="25"/>
  <c r="AC339" i="25" s="1"/>
  <c r="AL319" i="25"/>
  <c r="AE314" i="25" s="1"/>
  <c r="AE349" i="25"/>
  <c r="AE346" i="25"/>
  <c r="AE347" i="25"/>
  <c r="AE345" i="25"/>
  <c r="AL327" i="25"/>
  <c r="AC327" i="25"/>
  <c r="AL277" i="25"/>
  <c r="AC277" i="25"/>
  <c r="AL257" i="25"/>
  <c r="AL259" i="25" s="1"/>
  <c r="AC257" i="25"/>
  <c r="Z299" i="25"/>
  <c r="AC299" i="25" s="1"/>
  <c r="AL307" i="25"/>
  <c r="AL309" i="25" s="1"/>
  <c r="AC307" i="25"/>
  <c r="Z309" i="25"/>
  <c r="AC309" i="25" s="1"/>
  <c r="AC276" i="25"/>
  <c r="AL276" i="25"/>
  <c r="AL249" i="25"/>
  <c r="AE249" i="25" s="1"/>
  <c r="AL269" i="25"/>
  <c r="AE269" i="25" s="1"/>
  <c r="AL275" i="25"/>
  <c r="AC275" i="25"/>
  <c r="Z269" i="25"/>
  <c r="AC269" i="25" s="1"/>
  <c r="AC237" i="25"/>
  <c r="AL237" i="25"/>
  <c r="AL239" i="25" s="1"/>
  <c r="AC227" i="25"/>
  <c r="AL227" i="25"/>
  <c r="AC234" i="25"/>
  <c r="Z239" i="25"/>
  <c r="AC239" i="25" s="1"/>
  <c r="O21" i="23"/>
  <c r="J49" i="23" s="1"/>
  <c r="AP198" i="25"/>
  <c r="AW339" i="25" s="1"/>
  <c r="O16" i="23"/>
  <c r="AP193" i="25"/>
  <c r="AW279" i="25" s="1"/>
  <c r="O17" i="23"/>
  <c r="AP194" i="25"/>
  <c r="AW299" i="25" s="1"/>
  <c r="O18" i="23"/>
  <c r="AP195" i="25"/>
  <c r="AW309" i="25" s="1"/>
  <c r="O20" i="23"/>
  <c r="J48" i="23" s="1"/>
  <c r="AP197" i="25"/>
  <c r="AW329" i="25" s="1"/>
  <c r="O14" i="23"/>
  <c r="AP191" i="25"/>
  <c r="AW259" i="25" s="1"/>
  <c r="Z224" i="25"/>
  <c r="AL224" i="25" s="1"/>
  <c r="AC226" i="25"/>
  <c r="AC225" i="25"/>
  <c r="AM227" i="7"/>
  <c r="AN227" i="7"/>
  <c r="DB227" i="7" s="1"/>
  <c r="BK227" i="7"/>
  <c r="BP237" i="7"/>
  <c r="AO237" i="7"/>
  <c r="AP237" i="7"/>
  <c r="CJ237" i="7" s="1"/>
  <c r="BK194" i="7"/>
  <c r="AM194" i="7"/>
  <c r="AN194" i="7"/>
  <c r="AP204" i="7"/>
  <c r="CJ204" i="7" s="1"/>
  <c r="BP204" i="7"/>
  <c r="AO204" i="7"/>
  <c r="AO181" i="7"/>
  <c r="AP181" i="7" s="1"/>
  <c r="CJ181" i="7" s="1"/>
  <c r="AO180" i="7"/>
  <c r="AP180" i="7" s="1"/>
  <c r="CJ180" i="7" s="1"/>
  <c r="AE180" i="7"/>
  <c r="AC180" i="7"/>
  <c r="AD180" i="7"/>
  <c r="AF180" i="7" s="1"/>
  <c r="AE262" i="7"/>
  <c r="AD262" i="7"/>
  <c r="AF262" i="7" s="1"/>
  <c r="AC262" i="7"/>
  <c r="AE263" i="7"/>
  <c r="AD263" i="7"/>
  <c r="AF263" i="7" s="1"/>
  <c r="AC263" i="7"/>
  <c r="AE181" i="7"/>
  <c r="AD181" i="7"/>
  <c r="AF181" i="7" s="1"/>
  <c r="AC181" i="7"/>
  <c r="C190" i="7"/>
  <c r="C214" i="7"/>
  <c r="C226" i="7"/>
  <c r="C145" i="7"/>
  <c r="C259" i="7"/>
  <c r="C256" i="7"/>
  <c r="C191" i="7"/>
  <c r="C215" i="7"/>
  <c r="E46" i="23" s="1"/>
  <c r="C192" i="7"/>
  <c r="C216" i="7"/>
  <c r="C235" i="7"/>
  <c r="C193" i="7"/>
  <c r="C236" i="7"/>
  <c r="C257" i="7"/>
  <c r="C246" i="7"/>
  <c r="C138" i="7"/>
  <c r="C157" i="7"/>
  <c r="C168" i="7"/>
  <c r="C258" i="7"/>
  <c r="C202" i="7"/>
  <c r="C223" i="7"/>
  <c r="C247" i="7"/>
  <c r="C203" i="7"/>
  <c r="C224" i="7"/>
  <c r="C248" i="7"/>
  <c r="C213" i="7"/>
  <c r="C225" i="7"/>
  <c r="C249" i="7"/>
  <c r="BT262" i="7"/>
  <c r="BU262" i="7"/>
  <c r="BT263" i="7"/>
  <c r="BU263" i="7"/>
  <c r="AK250" i="7"/>
  <c r="AK251" i="7"/>
  <c r="AK252" i="7"/>
  <c r="AK253" i="7"/>
  <c r="AK254" i="7"/>
  <c r="AK255" i="7"/>
  <c r="AA137" i="7"/>
  <c r="AB137" i="7" s="1"/>
  <c r="AA138" i="7"/>
  <c r="AB138" i="7" s="1"/>
  <c r="AB187" i="7"/>
  <c r="AT187" i="7"/>
  <c r="AU187" i="7" s="1"/>
  <c r="AV187" i="7" s="1"/>
  <c r="AQ188" i="7"/>
  <c r="AR188" i="7" s="1"/>
  <c r="AS188" i="7" s="1"/>
  <c r="AL188" i="7"/>
  <c r="AQ202" i="7"/>
  <c r="AR202" i="7" s="1"/>
  <c r="AS202" i="7" s="1"/>
  <c r="AL202" i="7"/>
  <c r="AQ203" i="7"/>
  <c r="AR203" i="7" s="1"/>
  <c r="AS203" i="7" s="1"/>
  <c r="AL203" i="7"/>
  <c r="AQ204" i="7"/>
  <c r="AR204" i="7" s="1"/>
  <c r="AS204" i="7" s="1"/>
  <c r="AL204" i="7"/>
  <c r="AQ208" i="7"/>
  <c r="AR208" i="7" s="1"/>
  <c r="AS208" i="7" s="1"/>
  <c r="AL208" i="7"/>
  <c r="AQ212" i="7"/>
  <c r="AR212" i="7" s="1"/>
  <c r="AS212" i="7" s="1"/>
  <c r="AL212" i="7"/>
  <c r="AQ217" i="7"/>
  <c r="AR217" i="7" s="1"/>
  <c r="AS217" i="7" s="1"/>
  <c r="AL217" i="7"/>
  <c r="AQ239" i="7"/>
  <c r="AR239" i="7" s="1"/>
  <c r="AS239" i="7" s="1"/>
  <c r="AL239" i="7"/>
  <c r="AQ243" i="7"/>
  <c r="AR243" i="7" s="1"/>
  <c r="AS243" i="7" s="1"/>
  <c r="AL243" i="7"/>
  <c r="AB186" i="7"/>
  <c r="AT186" i="7"/>
  <c r="AU186" i="7" s="1"/>
  <c r="AV186" i="7" s="1"/>
  <c r="AQ187" i="7"/>
  <c r="AR187" i="7" s="1"/>
  <c r="AS187" i="7" s="1"/>
  <c r="AL187" i="7"/>
  <c r="AB207" i="7"/>
  <c r="AT207" i="7"/>
  <c r="AU207" i="7" s="1"/>
  <c r="AV207" i="7" s="1"/>
  <c r="AB211" i="7"/>
  <c r="AT211" i="7"/>
  <c r="AU211" i="7" s="1"/>
  <c r="AV211" i="7" s="1"/>
  <c r="AB238" i="7"/>
  <c r="AT238" i="7"/>
  <c r="AU238" i="7" s="1"/>
  <c r="AV238" i="7" s="1"/>
  <c r="AB242" i="7"/>
  <c r="AT242" i="7"/>
  <c r="AU242" i="7" s="1"/>
  <c r="AV242" i="7" s="1"/>
  <c r="AB185" i="7"/>
  <c r="AT185" i="7"/>
  <c r="AU185" i="7" s="1"/>
  <c r="AV185" i="7" s="1"/>
  <c r="AQ186" i="7"/>
  <c r="AR186" i="7" s="1"/>
  <c r="AS186" i="7" s="1"/>
  <c r="AL186" i="7"/>
  <c r="AB195" i="7"/>
  <c r="AT195" i="7"/>
  <c r="AU195" i="7" s="1"/>
  <c r="AV195" i="7" s="1"/>
  <c r="AB197" i="7"/>
  <c r="AT197" i="7"/>
  <c r="AU197" i="7" s="1"/>
  <c r="AV197" i="7" s="1"/>
  <c r="AB199" i="7"/>
  <c r="AT199" i="7"/>
  <c r="AU199" i="7" s="1"/>
  <c r="AV199" i="7" s="1"/>
  <c r="AB201" i="7"/>
  <c r="AT201" i="7"/>
  <c r="AU201" i="7" s="1"/>
  <c r="AV201" i="7" s="1"/>
  <c r="AQ207" i="7"/>
  <c r="AR207" i="7" s="1"/>
  <c r="AS207" i="7" s="1"/>
  <c r="AL207" i="7"/>
  <c r="AQ211" i="7"/>
  <c r="AR211" i="7" s="1"/>
  <c r="AS211" i="7" s="1"/>
  <c r="AL211" i="7"/>
  <c r="AB222" i="7"/>
  <c r="AT222" i="7"/>
  <c r="AU222" i="7" s="1"/>
  <c r="AV222" i="7" s="1"/>
  <c r="AB223" i="7"/>
  <c r="AT223" i="7"/>
  <c r="AU223" i="7" s="1"/>
  <c r="AV223" i="7" s="1"/>
  <c r="AB224" i="7"/>
  <c r="AT224" i="7"/>
  <c r="AU224" i="7" s="1"/>
  <c r="AV224" i="7" s="1"/>
  <c r="AB225" i="7"/>
  <c r="AT225" i="7"/>
  <c r="AU225" i="7" s="1"/>
  <c r="AV225" i="7" s="1"/>
  <c r="AB226" i="7"/>
  <c r="AT226" i="7"/>
  <c r="AU226" i="7" s="1"/>
  <c r="AV226" i="7" s="1"/>
  <c r="AB227" i="7"/>
  <c r="AT227" i="7"/>
  <c r="AU227" i="7" s="1"/>
  <c r="AV227" i="7" s="1"/>
  <c r="AB229" i="7"/>
  <c r="AT229" i="7"/>
  <c r="AU229" i="7" s="1"/>
  <c r="AV229" i="7" s="1"/>
  <c r="AB231" i="7"/>
  <c r="AT231" i="7"/>
  <c r="AU231" i="7" s="1"/>
  <c r="AV231" i="7" s="1"/>
  <c r="AB233" i="7"/>
  <c r="AT233" i="7"/>
  <c r="AU233" i="7" s="1"/>
  <c r="AV233" i="7" s="1"/>
  <c r="AQ238" i="7"/>
  <c r="AR238" i="7" s="1"/>
  <c r="AS238" i="7" s="1"/>
  <c r="AL238" i="7"/>
  <c r="AQ242" i="7"/>
  <c r="AR242" i="7" s="1"/>
  <c r="AS242" i="7" s="1"/>
  <c r="AL242" i="7"/>
  <c r="AB246" i="7"/>
  <c r="AT246" i="7"/>
  <c r="AU246" i="7" s="1"/>
  <c r="AV246" i="7" s="1"/>
  <c r="AB247" i="7"/>
  <c r="AT247" i="7"/>
  <c r="AU247" i="7" s="1"/>
  <c r="AV247" i="7" s="1"/>
  <c r="AB248" i="7"/>
  <c r="AT248" i="7"/>
  <c r="AU248" i="7" s="1"/>
  <c r="AV248" i="7" s="1"/>
  <c r="AB249" i="7"/>
  <c r="AT249" i="7"/>
  <c r="AU249" i="7" s="1"/>
  <c r="AV249" i="7" s="1"/>
  <c r="AB184" i="7"/>
  <c r="AT184" i="7"/>
  <c r="AU184" i="7" s="1"/>
  <c r="AV184" i="7" s="1"/>
  <c r="AQ185" i="7"/>
  <c r="AR185" i="7" s="1"/>
  <c r="AS185" i="7" s="1"/>
  <c r="AL185" i="7"/>
  <c r="AQ195" i="7"/>
  <c r="AR195" i="7" s="1"/>
  <c r="AS195" i="7" s="1"/>
  <c r="AL195" i="7"/>
  <c r="AO195" i="7" s="1"/>
  <c r="AP195" i="7" s="1"/>
  <c r="AQ197" i="7"/>
  <c r="AR197" i="7" s="1"/>
  <c r="AS197" i="7" s="1"/>
  <c r="AL197" i="7"/>
  <c r="AO197" i="7" s="1"/>
  <c r="AP197" i="7" s="1"/>
  <c r="AQ199" i="7"/>
  <c r="AR199" i="7" s="1"/>
  <c r="AS199" i="7" s="1"/>
  <c r="AL199" i="7"/>
  <c r="AO199" i="7" s="1"/>
  <c r="AP199" i="7" s="1"/>
  <c r="AQ201" i="7"/>
  <c r="AR201" i="7" s="1"/>
  <c r="AS201" i="7" s="1"/>
  <c r="AL201" i="7"/>
  <c r="AO201" i="7" s="1"/>
  <c r="AP201" i="7" s="1"/>
  <c r="AB206" i="7"/>
  <c r="AT206" i="7"/>
  <c r="AU206" i="7" s="1"/>
  <c r="AV206" i="7" s="1"/>
  <c r="AB210" i="7"/>
  <c r="AT210" i="7"/>
  <c r="AU210" i="7" s="1"/>
  <c r="AV210" i="7" s="1"/>
  <c r="AB221" i="7"/>
  <c r="AT221" i="7"/>
  <c r="AU221" i="7" s="1"/>
  <c r="AV221" i="7" s="1"/>
  <c r="AQ222" i="7"/>
  <c r="AR222" i="7" s="1"/>
  <c r="AS222" i="7" s="1"/>
  <c r="AL222" i="7"/>
  <c r="AQ223" i="7"/>
  <c r="AR223" i="7" s="1"/>
  <c r="AS223" i="7" s="1"/>
  <c r="AL223" i="7"/>
  <c r="AQ224" i="7"/>
  <c r="AR224" i="7" s="1"/>
  <c r="AS224" i="7" s="1"/>
  <c r="AL224" i="7"/>
  <c r="AO224" i="7" s="1"/>
  <c r="AP224" i="7" s="1"/>
  <c r="AQ225" i="7"/>
  <c r="AR225" i="7" s="1"/>
  <c r="AS225" i="7" s="1"/>
  <c r="AL225" i="7"/>
  <c r="AQ226" i="7"/>
  <c r="AR226" i="7" s="1"/>
  <c r="AS226" i="7" s="1"/>
  <c r="AL226" i="7"/>
  <c r="AQ227" i="7"/>
  <c r="AR227" i="7" s="1"/>
  <c r="AS227" i="7" s="1"/>
  <c r="AL227" i="7"/>
  <c r="AO227" i="7" s="1"/>
  <c r="AP227" i="7" s="1"/>
  <c r="AQ229" i="7"/>
  <c r="AR229" i="7" s="1"/>
  <c r="AS229" i="7" s="1"/>
  <c r="AL229" i="7"/>
  <c r="AO229" i="7" s="1"/>
  <c r="AP229" i="7" s="1"/>
  <c r="AQ231" i="7"/>
  <c r="AR231" i="7" s="1"/>
  <c r="AS231" i="7" s="1"/>
  <c r="AL231" i="7"/>
  <c r="AO231" i="7" s="1"/>
  <c r="AP231" i="7" s="1"/>
  <c r="AQ233" i="7"/>
  <c r="AR233" i="7" s="1"/>
  <c r="AS233" i="7" s="1"/>
  <c r="AL233" i="7"/>
  <c r="AO233" i="7" s="1"/>
  <c r="AP233" i="7" s="1"/>
  <c r="AB235" i="7"/>
  <c r="AT235" i="7"/>
  <c r="AU235" i="7" s="1"/>
  <c r="AV235" i="7" s="1"/>
  <c r="AB236" i="7"/>
  <c r="AT236" i="7"/>
  <c r="AU236" i="7" s="1"/>
  <c r="AV236" i="7" s="1"/>
  <c r="AB237" i="7"/>
  <c r="AT237" i="7"/>
  <c r="AU237" i="7" s="1"/>
  <c r="AV237" i="7" s="1"/>
  <c r="AB241" i="7"/>
  <c r="AT241" i="7"/>
  <c r="AU241" i="7" s="1"/>
  <c r="AV241" i="7" s="1"/>
  <c r="AB245" i="7"/>
  <c r="AT245" i="7"/>
  <c r="AU245" i="7" s="1"/>
  <c r="AV245" i="7" s="1"/>
  <c r="AQ246" i="7"/>
  <c r="AR246" i="7" s="1"/>
  <c r="AS246" i="7" s="1"/>
  <c r="AL246" i="7"/>
  <c r="AQ247" i="7"/>
  <c r="AR247" i="7" s="1"/>
  <c r="AS247" i="7" s="1"/>
  <c r="AL247" i="7"/>
  <c r="AQ248" i="7"/>
  <c r="AR248" i="7" s="1"/>
  <c r="AS248" i="7" s="1"/>
  <c r="AL248" i="7"/>
  <c r="AQ249" i="7"/>
  <c r="AR249" i="7" s="1"/>
  <c r="AS249" i="7" s="1"/>
  <c r="AL249" i="7"/>
  <c r="AQ184" i="7"/>
  <c r="AR184" i="7" s="1"/>
  <c r="AS184" i="7" s="1"/>
  <c r="AL184" i="7"/>
  <c r="AQ206" i="7"/>
  <c r="AR206" i="7" s="1"/>
  <c r="AS206" i="7" s="1"/>
  <c r="AL206" i="7"/>
  <c r="AQ210" i="7"/>
  <c r="AR210" i="7" s="1"/>
  <c r="AS210" i="7" s="1"/>
  <c r="AL210" i="7"/>
  <c r="AB220" i="7"/>
  <c r="AT220" i="7"/>
  <c r="AU220" i="7" s="1"/>
  <c r="AV220" i="7" s="1"/>
  <c r="AQ221" i="7"/>
  <c r="AR221" i="7" s="1"/>
  <c r="AS221" i="7" s="1"/>
  <c r="AL221" i="7"/>
  <c r="AQ235" i="7"/>
  <c r="AR235" i="7" s="1"/>
  <c r="AS235" i="7" s="1"/>
  <c r="AL235" i="7"/>
  <c r="AQ236" i="7"/>
  <c r="AR236" i="7" s="1"/>
  <c r="AS236" i="7" s="1"/>
  <c r="AL236" i="7"/>
  <c r="AQ237" i="7"/>
  <c r="AR237" i="7" s="1"/>
  <c r="AS237" i="7" s="1"/>
  <c r="AL237" i="7"/>
  <c r="AQ241" i="7"/>
  <c r="AR241" i="7" s="1"/>
  <c r="AS241" i="7" s="1"/>
  <c r="AL241" i="7"/>
  <c r="AQ245" i="7"/>
  <c r="AR245" i="7" s="1"/>
  <c r="AS245" i="7" s="1"/>
  <c r="AL245" i="7"/>
  <c r="AB205" i="7"/>
  <c r="AT205" i="7"/>
  <c r="AU205" i="7" s="1"/>
  <c r="AV205" i="7" s="1"/>
  <c r="AB209" i="7"/>
  <c r="AT209" i="7"/>
  <c r="AU209" i="7" s="1"/>
  <c r="AV209" i="7" s="1"/>
  <c r="AB219" i="7"/>
  <c r="AT219" i="7"/>
  <c r="AU219" i="7" s="1"/>
  <c r="AV219" i="7" s="1"/>
  <c r="AQ220" i="7"/>
  <c r="AR220" i="7" s="1"/>
  <c r="AS220" i="7" s="1"/>
  <c r="AL220" i="7"/>
  <c r="AB240" i="7"/>
  <c r="AT240" i="7"/>
  <c r="AU240" i="7" s="1"/>
  <c r="AV240" i="7" s="1"/>
  <c r="AB244" i="7"/>
  <c r="AT244" i="7"/>
  <c r="AU244" i="7" s="1"/>
  <c r="AV244" i="7" s="1"/>
  <c r="AB189" i="7"/>
  <c r="AT189" i="7"/>
  <c r="AU189" i="7" s="1"/>
  <c r="AV189" i="7" s="1"/>
  <c r="AB190" i="7"/>
  <c r="AT190" i="7"/>
  <c r="AU190" i="7" s="1"/>
  <c r="AV190" i="7" s="1"/>
  <c r="AB191" i="7"/>
  <c r="AT191" i="7"/>
  <c r="AU191" i="7" s="1"/>
  <c r="AV191" i="7" s="1"/>
  <c r="AB192" i="7"/>
  <c r="AT192" i="7"/>
  <c r="AU192" i="7" s="1"/>
  <c r="AV192" i="7" s="1"/>
  <c r="AB193" i="7"/>
  <c r="AT193" i="7"/>
  <c r="AU193" i="7" s="1"/>
  <c r="AV193" i="7" s="1"/>
  <c r="AB194" i="7"/>
  <c r="AT194" i="7"/>
  <c r="AU194" i="7" s="1"/>
  <c r="AV194" i="7" s="1"/>
  <c r="AB196" i="7"/>
  <c r="AT196" i="7"/>
  <c r="AU196" i="7" s="1"/>
  <c r="AV196" i="7" s="1"/>
  <c r="AB198" i="7"/>
  <c r="AT198" i="7"/>
  <c r="AU198" i="7" s="1"/>
  <c r="AV198" i="7" s="1"/>
  <c r="AB200" i="7"/>
  <c r="AT200" i="7"/>
  <c r="AU200" i="7" s="1"/>
  <c r="AV200" i="7" s="1"/>
  <c r="AQ205" i="7"/>
  <c r="AR205" i="7" s="1"/>
  <c r="AS205" i="7" s="1"/>
  <c r="AL205" i="7"/>
  <c r="AQ209" i="7"/>
  <c r="AR209" i="7" s="1"/>
  <c r="AS209" i="7" s="1"/>
  <c r="AL209" i="7"/>
  <c r="AB213" i="7"/>
  <c r="AT213" i="7"/>
  <c r="AU213" i="7" s="1"/>
  <c r="AV213" i="7" s="1"/>
  <c r="AB214" i="7"/>
  <c r="AT214" i="7"/>
  <c r="AU214" i="7" s="1"/>
  <c r="AV214" i="7" s="1"/>
  <c r="AB215" i="7"/>
  <c r="AT215" i="7"/>
  <c r="AU215" i="7" s="1"/>
  <c r="AV215" i="7" s="1"/>
  <c r="AB216" i="7"/>
  <c r="AT216" i="7"/>
  <c r="AU216" i="7" s="1"/>
  <c r="AV216" i="7" s="1"/>
  <c r="AB218" i="7"/>
  <c r="AT218" i="7"/>
  <c r="AU218" i="7" s="1"/>
  <c r="AV218" i="7" s="1"/>
  <c r="AQ219" i="7"/>
  <c r="AR219" i="7" s="1"/>
  <c r="AS219" i="7" s="1"/>
  <c r="AL219" i="7"/>
  <c r="AB228" i="7"/>
  <c r="AT228" i="7"/>
  <c r="AU228" i="7" s="1"/>
  <c r="AV228" i="7" s="1"/>
  <c r="AB230" i="7"/>
  <c r="AT230" i="7"/>
  <c r="AU230" i="7" s="1"/>
  <c r="AV230" i="7" s="1"/>
  <c r="AB232" i="7"/>
  <c r="AT232" i="7"/>
  <c r="AU232" i="7" s="1"/>
  <c r="AV232" i="7" s="1"/>
  <c r="AB234" i="7"/>
  <c r="AT234" i="7"/>
  <c r="AU234" i="7" s="1"/>
  <c r="AV234" i="7" s="1"/>
  <c r="AQ240" i="7"/>
  <c r="AR240" i="7" s="1"/>
  <c r="AS240" i="7" s="1"/>
  <c r="AL240" i="7"/>
  <c r="AQ244" i="7"/>
  <c r="AR244" i="7" s="1"/>
  <c r="AS244" i="7" s="1"/>
  <c r="AL244" i="7"/>
  <c r="AB188" i="7"/>
  <c r="AT188" i="7"/>
  <c r="AU188" i="7" s="1"/>
  <c r="AV188" i="7" s="1"/>
  <c r="AQ189" i="7"/>
  <c r="AR189" i="7" s="1"/>
  <c r="AS189" i="7" s="1"/>
  <c r="AL189" i="7"/>
  <c r="AQ190" i="7"/>
  <c r="AR190" i="7" s="1"/>
  <c r="AS190" i="7" s="1"/>
  <c r="AL190" i="7"/>
  <c r="AQ191" i="7"/>
  <c r="AR191" i="7" s="1"/>
  <c r="AS191" i="7" s="1"/>
  <c r="AL191" i="7"/>
  <c r="AO191" i="7" s="1"/>
  <c r="AP191" i="7" s="1"/>
  <c r="AQ192" i="7"/>
  <c r="AR192" i="7" s="1"/>
  <c r="AS192" i="7" s="1"/>
  <c r="AL192" i="7"/>
  <c r="AQ193" i="7"/>
  <c r="AR193" i="7" s="1"/>
  <c r="AS193" i="7" s="1"/>
  <c r="AL193" i="7"/>
  <c r="AQ194" i="7"/>
  <c r="AR194" i="7" s="1"/>
  <c r="AS194" i="7" s="1"/>
  <c r="AL194" i="7"/>
  <c r="AQ196" i="7"/>
  <c r="AR196" i="7" s="1"/>
  <c r="AS196" i="7" s="1"/>
  <c r="AL196" i="7"/>
  <c r="AO196" i="7" s="1"/>
  <c r="AP196" i="7" s="1"/>
  <c r="AQ198" i="7"/>
  <c r="AR198" i="7" s="1"/>
  <c r="AS198" i="7" s="1"/>
  <c r="AL198" i="7"/>
  <c r="AO198" i="7" s="1"/>
  <c r="AP198" i="7" s="1"/>
  <c r="AQ200" i="7"/>
  <c r="AR200" i="7" s="1"/>
  <c r="AS200" i="7" s="1"/>
  <c r="AL200" i="7"/>
  <c r="AO200" i="7" s="1"/>
  <c r="AP200" i="7" s="1"/>
  <c r="AB202" i="7"/>
  <c r="AT202" i="7"/>
  <c r="AU202" i="7" s="1"/>
  <c r="AV202" i="7" s="1"/>
  <c r="AB203" i="7"/>
  <c r="AT203" i="7"/>
  <c r="AU203" i="7" s="1"/>
  <c r="AV203" i="7" s="1"/>
  <c r="AB204" i="7"/>
  <c r="AT204" i="7"/>
  <c r="AU204" i="7" s="1"/>
  <c r="AV204" i="7" s="1"/>
  <c r="AB208" i="7"/>
  <c r="AT208" i="7"/>
  <c r="AU208" i="7" s="1"/>
  <c r="AV208" i="7" s="1"/>
  <c r="AB212" i="7"/>
  <c r="AT212" i="7"/>
  <c r="AU212" i="7" s="1"/>
  <c r="AV212" i="7" s="1"/>
  <c r="AQ213" i="7"/>
  <c r="AR213" i="7" s="1"/>
  <c r="AS213" i="7" s="1"/>
  <c r="AL213" i="7"/>
  <c r="AQ214" i="7"/>
  <c r="AR214" i="7" s="1"/>
  <c r="AS214" i="7" s="1"/>
  <c r="AL214" i="7"/>
  <c r="AQ215" i="7"/>
  <c r="AR215" i="7" s="1"/>
  <c r="AS215" i="7" s="1"/>
  <c r="AL215" i="7"/>
  <c r="AQ216" i="7"/>
  <c r="AR216" i="7" s="1"/>
  <c r="AS216" i="7" s="1"/>
  <c r="AL216" i="7"/>
  <c r="AB217" i="7"/>
  <c r="AT217" i="7"/>
  <c r="AU217" i="7" s="1"/>
  <c r="AV217" i="7" s="1"/>
  <c r="AQ218" i="7"/>
  <c r="AR218" i="7" s="1"/>
  <c r="AS218" i="7" s="1"/>
  <c r="AL218" i="7"/>
  <c r="AQ228" i="7"/>
  <c r="AR228" i="7" s="1"/>
  <c r="AS228" i="7" s="1"/>
  <c r="AL228" i="7"/>
  <c r="AO228" i="7" s="1"/>
  <c r="AP228" i="7" s="1"/>
  <c r="AQ230" i="7"/>
  <c r="AR230" i="7" s="1"/>
  <c r="AS230" i="7" s="1"/>
  <c r="AL230" i="7"/>
  <c r="AO230" i="7" s="1"/>
  <c r="AP230" i="7" s="1"/>
  <c r="AQ232" i="7"/>
  <c r="AR232" i="7" s="1"/>
  <c r="AS232" i="7" s="1"/>
  <c r="AL232" i="7"/>
  <c r="AO232" i="7" s="1"/>
  <c r="AP232" i="7" s="1"/>
  <c r="AQ234" i="7"/>
  <c r="AR234" i="7" s="1"/>
  <c r="AS234" i="7" s="1"/>
  <c r="AL234" i="7"/>
  <c r="AO234" i="7" s="1"/>
  <c r="AP234" i="7" s="1"/>
  <c r="AB239" i="7"/>
  <c r="AT239" i="7"/>
  <c r="AU239" i="7" s="1"/>
  <c r="AV239" i="7" s="1"/>
  <c r="AB243" i="7"/>
  <c r="AT243" i="7"/>
  <c r="AU243" i="7" s="1"/>
  <c r="AV243" i="7" s="1"/>
  <c r="S228" i="7"/>
  <c r="F227" i="7"/>
  <c r="F237" i="7"/>
  <c r="V238" i="7"/>
  <c r="AY236" i="7"/>
  <c r="AY237" i="7"/>
  <c r="AA259" i="7"/>
  <c r="S195" i="7"/>
  <c r="F194" i="7"/>
  <c r="AY203" i="7"/>
  <c r="V205" i="7"/>
  <c r="F204" i="7"/>
  <c r="AK257" i="7"/>
  <c r="AY250" i="7"/>
  <c r="AY254" i="7"/>
  <c r="AK256" i="7"/>
  <c r="AA257" i="7"/>
  <c r="AA258" i="7"/>
  <c r="AK258" i="7"/>
  <c r="AY252" i="7"/>
  <c r="AK259" i="7"/>
  <c r="AA250" i="7"/>
  <c r="AA252" i="7"/>
  <c r="AA254" i="7"/>
  <c r="AY255" i="7"/>
  <c r="AA251" i="7"/>
  <c r="AA253" i="7"/>
  <c r="AA255" i="7"/>
  <c r="AA256" i="7"/>
  <c r="AY257" i="7"/>
  <c r="AY258" i="7"/>
  <c r="AK168" i="7"/>
  <c r="AA168" i="7"/>
  <c r="AK157" i="7"/>
  <c r="AA157" i="7"/>
  <c r="AK145" i="7"/>
  <c r="AA145" i="7"/>
  <c r="AA144" i="7"/>
  <c r="AK144" i="7"/>
  <c r="F264" i="7"/>
  <c r="AA183" i="7"/>
  <c r="F183" i="7"/>
  <c r="AK182" i="7"/>
  <c r="F182" i="7"/>
  <c r="AA261" i="7"/>
  <c r="F261" i="7"/>
  <c r="F260" i="7"/>
  <c r="T170" i="7"/>
  <c r="AK171" i="7"/>
  <c r="AA171" i="7"/>
  <c r="AK170" i="7"/>
  <c r="AA170" i="7"/>
  <c r="V159" i="7"/>
  <c r="AA167" i="7"/>
  <c r="AA166" i="7"/>
  <c r="AA165" i="7"/>
  <c r="AA164" i="7"/>
  <c r="AA163" i="7"/>
  <c r="AA160" i="7"/>
  <c r="AA159" i="7"/>
  <c r="S149" i="7"/>
  <c r="AK260" i="7"/>
  <c r="AA260" i="7"/>
  <c r="AK169" i="7"/>
  <c r="AA169" i="7"/>
  <c r="AK158" i="7"/>
  <c r="AA158" i="7"/>
  <c r="AK156" i="7"/>
  <c r="AA156" i="7"/>
  <c r="AK155" i="7"/>
  <c r="AA155" i="7"/>
  <c r="AK154" i="7"/>
  <c r="AA154" i="7"/>
  <c r="AT154" i="7" s="1"/>
  <c r="AU154" i="7" s="1"/>
  <c r="AV154" i="7" s="1"/>
  <c r="AA153" i="7"/>
  <c r="AK152" i="7"/>
  <c r="AK151" i="7"/>
  <c r="AK150" i="7"/>
  <c r="AK149" i="7"/>
  <c r="AK148" i="7"/>
  <c r="C148" i="7"/>
  <c r="AK147" i="7"/>
  <c r="C147" i="7"/>
  <c r="AK146" i="7"/>
  <c r="F135" i="7"/>
  <c r="F136" i="7"/>
  <c r="F134" i="7"/>
  <c r="F133" i="7"/>
  <c r="F132" i="7"/>
  <c r="F131" i="7"/>
  <c r="F130" i="7"/>
  <c r="F129" i="7"/>
  <c r="F128" i="7"/>
  <c r="F127" i="7"/>
  <c r="F126" i="7"/>
  <c r="F125" i="7"/>
  <c r="AA134" i="7"/>
  <c r="AA133" i="7"/>
  <c r="AT133" i="7" s="1"/>
  <c r="AU133" i="7" s="1"/>
  <c r="AV133" i="7" s="1"/>
  <c r="AA130" i="7"/>
  <c r="AK129" i="7"/>
  <c r="AA129" i="7"/>
  <c r="AA128" i="7"/>
  <c r="AA127" i="7"/>
  <c r="AA126" i="7"/>
  <c r="AA125" i="7"/>
  <c r="G201" i="16"/>
  <c r="AD351" i="25" s="1"/>
  <c r="J51" i="23" l="1"/>
  <c r="AD281" i="25"/>
  <c r="AE317" i="25"/>
  <c r="AE247" i="25"/>
  <c r="AE264" i="25"/>
  <c r="AE259" i="25"/>
  <c r="AE254" i="25"/>
  <c r="AE265" i="25"/>
  <c r="AE309" i="25"/>
  <c r="AE304" i="25"/>
  <c r="AE305" i="25"/>
  <c r="AE246" i="25"/>
  <c r="AE244" i="25"/>
  <c r="AE307" i="25"/>
  <c r="AE319" i="25"/>
  <c r="AE315" i="25"/>
  <c r="AE316" i="25"/>
  <c r="AL299" i="25"/>
  <c r="AE306" i="25"/>
  <c r="AE266" i="25"/>
  <c r="AE255" i="25"/>
  <c r="AL339" i="25"/>
  <c r="AE334" i="25" s="1"/>
  <c r="AE245" i="25"/>
  <c r="AE267" i="25"/>
  <c r="AL279" i="25"/>
  <c r="AE279" i="25" s="1"/>
  <c r="AE257" i="25"/>
  <c r="AL329" i="25"/>
  <c r="AE327" i="25" s="1"/>
  <c r="AE256" i="25"/>
  <c r="AE239" i="25"/>
  <c r="AE236" i="25"/>
  <c r="AE235" i="25"/>
  <c r="AE237" i="25"/>
  <c r="AE234" i="25"/>
  <c r="Z229" i="25"/>
  <c r="AC229" i="25" s="1"/>
  <c r="AL229" i="25"/>
  <c r="AE226" i="25" s="1"/>
  <c r="AC224" i="25"/>
  <c r="CI227" i="7"/>
  <c r="CI194" i="7"/>
  <c r="DB194" i="7"/>
  <c r="AN149" i="7"/>
  <c r="DB149" i="7" s="1"/>
  <c r="BK149" i="7"/>
  <c r="AM149" i="7"/>
  <c r="AO159" i="7"/>
  <c r="BP159" i="7"/>
  <c r="AP159" i="7"/>
  <c r="CJ159" i="7" s="1"/>
  <c r="AP205" i="7"/>
  <c r="CJ205" i="7" s="1"/>
  <c r="BP205" i="7"/>
  <c r="AO205" i="7"/>
  <c r="BP238" i="7"/>
  <c r="AO238" i="7"/>
  <c r="AP238" i="7"/>
  <c r="BS170" i="7"/>
  <c r="AW170" i="7"/>
  <c r="CH170" i="7" s="1"/>
  <c r="CI170" i="7" s="1"/>
  <c r="AM195" i="7"/>
  <c r="AN195" i="7"/>
  <c r="BK195" i="7"/>
  <c r="AN228" i="7"/>
  <c r="DB228" i="7" s="1"/>
  <c r="BK228" i="7"/>
  <c r="AM228" i="7"/>
  <c r="AO216" i="7"/>
  <c r="AP216" i="7" s="1"/>
  <c r="CJ216" i="7" s="1"/>
  <c r="AO194" i="7"/>
  <c r="AP194" i="7" s="1"/>
  <c r="AM190" i="7"/>
  <c r="AN190" i="7" s="1"/>
  <c r="AO190" i="7"/>
  <c r="AP190" i="7" s="1"/>
  <c r="AO220" i="7"/>
  <c r="AP220" i="7" s="1"/>
  <c r="CJ220" i="7" s="1"/>
  <c r="AO235" i="7"/>
  <c r="AP235" i="7" s="1"/>
  <c r="CJ235" i="7" s="1"/>
  <c r="AO247" i="7"/>
  <c r="AP247" i="7" s="1"/>
  <c r="CJ247" i="7" s="1"/>
  <c r="AO225" i="7"/>
  <c r="AP225" i="7" s="1"/>
  <c r="CJ225" i="7" s="1"/>
  <c r="AO187" i="7"/>
  <c r="AP187" i="7" s="1"/>
  <c r="CJ187" i="7" s="1"/>
  <c r="AO217" i="7"/>
  <c r="AP217" i="7" s="1"/>
  <c r="CJ217" i="7" s="1"/>
  <c r="AY181" i="7"/>
  <c r="AY180" i="7"/>
  <c r="AO215" i="7"/>
  <c r="AP215" i="7" s="1"/>
  <c r="CJ215" i="7" s="1"/>
  <c r="AO193" i="7"/>
  <c r="AP193" i="7" s="1"/>
  <c r="CJ193" i="7" s="1"/>
  <c r="AO189" i="7"/>
  <c r="AP189" i="7" s="1"/>
  <c r="CJ189" i="7" s="1"/>
  <c r="AO219" i="7"/>
  <c r="AP219" i="7" s="1"/>
  <c r="CJ219" i="7" s="1"/>
  <c r="AO221" i="7"/>
  <c r="AP221" i="7" s="1"/>
  <c r="CJ221" i="7" s="1"/>
  <c r="AO184" i="7"/>
  <c r="AP184" i="7" s="1"/>
  <c r="CJ184" i="7" s="1"/>
  <c r="AO246" i="7"/>
  <c r="AP246" i="7" s="1"/>
  <c r="CJ246" i="7" s="1"/>
  <c r="AO202" i="7"/>
  <c r="AP202" i="7" s="1"/>
  <c r="CJ202" i="7" s="1"/>
  <c r="AO218" i="7"/>
  <c r="AP218" i="7" s="1"/>
  <c r="CJ218" i="7" s="1"/>
  <c r="AO214" i="7"/>
  <c r="AP214" i="7" s="1"/>
  <c r="CJ214" i="7" s="1"/>
  <c r="AO192" i="7"/>
  <c r="AP192" i="7" s="1"/>
  <c r="CJ192" i="7" s="1"/>
  <c r="AO249" i="7"/>
  <c r="AP249" i="7" s="1"/>
  <c r="CJ249" i="7" s="1"/>
  <c r="AM223" i="7"/>
  <c r="AN223" i="7" s="1"/>
  <c r="AO223" i="7"/>
  <c r="AP223" i="7" s="1"/>
  <c r="AO186" i="7"/>
  <c r="AP186" i="7" s="1"/>
  <c r="CJ186" i="7" s="1"/>
  <c r="AO188" i="7"/>
  <c r="AP188" i="7" s="1"/>
  <c r="CJ188" i="7" s="1"/>
  <c r="AO213" i="7"/>
  <c r="AP213" i="7" s="1"/>
  <c r="CJ213" i="7" s="1"/>
  <c r="AO248" i="7"/>
  <c r="AP248" i="7" s="1"/>
  <c r="CJ248" i="7" s="1"/>
  <c r="AO226" i="7"/>
  <c r="AP226" i="7" s="1"/>
  <c r="CJ226" i="7" s="1"/>
  <c r="AO222" i="7"/>
  <c r="AP222" i="7" s="1"/>
  <c r="CJ222" i="7" s="1"/>
  <c r="AO185" i="7"/>
  <c r="AP185" i="7" s="1"/>
  <c r="CJ185" i="7" s="1"/>
  <c r="AG263" i="7"/>
  <c r="AE204" i="7"/>
  <c r="AD204" i="7"/>
  <c r="AF204" i="7" s="1"/>
  <c r="AC204" i="7"/>
  <c r="AE188" i="7"/>
  <c r="AD188" i="7"/>
  <c r="AF188" i="7" s="1"/>
  <c r="AG188" i="7" s="1"/>
  <c r="AC188" i="7"/>
  <c r="AD232" i="7"/>
  <c r="AF232" i="7" s="1"/>
  <c r="AE232" i="7"/>
  <c r="AC232" i="7"/>
  <c r="AE218" i="7"/>
  <c r="AF218" i="7" s="1"/>
  <c r="AD218" i="7"/>
  <c r="AC218" i="7"/>
  <c r="AE213" i="7"/>
  <c r="AC213" i="7"/>
  <c r="AD213" i="7"/>
  <c r="AF213" i="7" s="1"/>
  <c r="AD198" i="7"/>
  <c r="AF198" i="7" s="1"/>
  <c r="AC198" i="7"/>
  <c r="AE198" i="7"/>
  <c r="AE192" i="7"/>
  <c r="AD192" i="7"/>
  <c r="AF192" i="7" s="1"/>
  <c r="AC192" i="7"/>
  <c r="AD244" i="7"/>
  <c r="AF244" i="7" s="1"/>
  <c r="AC244" i="7"/>
  <c r="AE244" i="7"/>
  <c r="AC209" i="7"/>
  <c r="AE209" i="7"/>
  <c r="AD209" i="7"/>
  <c r="AF209" i="7" s="1"/>
  <c r="AG209" i="7" s="1"/>
  <c r="AD220" i="7"/>
  <c r="AF220" i="7" s="1"/>
  <c r="AG220" i="7" s="1"/>
  <c r="AC220" i="7"/>
  <c r="AE220" i="7"/>
  <c r="AE245" i="7"/>
  <c r="AD245" i="7"/>
  <c r="AF245" i="7" s="1"/>
  <c r="AC245" i="7"/>
  <c r="AE235" i="7"/>
  <c r="AD235" i="7"/>
  <c r="AF235" i="7" s="1"/>
  <c r="AC235" i="7"/>
  <c r="AD206" i="7"/>
  <c r="AF206" i="7" s="1"/>
  <c r="AG206" i="7" s="1"/>
  <c r="CG206" i="7" s="1"/>
  <c r="AC206" i="7"/>
  <c r="AE206" i="7"/>
  <c r="AD248" i="7"/>
  <c r="AF248" i="7" s="1"/>
  <c r="AE248" i="7"/>
  <c r="AC248" i="7"/>
  <c r="AE227" i="7"/>
  <c r="AD227" i="7"/>
  <c r="AF227" i="7" s="1"/>
  <c r="AG227" i="7" s="1"/>
  <c r="AC227" i="7"/>
  <c r="AC223" i="7"/>
  <c r="AE223" i="7"/>
  <c r="AD223" i="7"/>
  <c r="AF223" i="7" s="1"/>
  <c r="AC201" i="7"/>
  <c r="AE201" i="7"/>
  <c r="AD201" i="7"/>
  <c r="AF201" i="7" s="1"/>
  <c r="AE211" i="7"/>
  <c r="AD211" i="7"/>
  <c r="AF211" i="7" s="1"/>
  <c r="AG211" i="7" s="1"/>
  <c r="CG211" i="7" s="1"/>
  <c r="AC211" i="7"/>
  <c r="AE217" i="7"/>
  <c r="AF217" i="7" s="1"/>
  <c r="AD217" i="7"/>
  <c r="AC217" i="7"/>
  <c r="AE203" i="7"/>
  <c r="AD203" i="7"/>
  <c r="AF203" i="7" s="1"/>
  <c r="AC203" i="7"/>
  <c r="AE230" i="7"/>
  <c r="AD230" i="7"/>
  <c r="AC230" i="7"/>
  <c r="AE216" i="7"/>
  <c r="AD216" i="7"/>
  <c r="AF216" i="7" s="1"/>
  <c r="AG216" i="7" s="1"/>
  <c r="AC216" i="7"/>
  <c r="AE196" i="7"/>
  <c r="AD196" i="7"/>
  <c r="AF196" i="7" s="1"/>
  <c r="AG196" i="7" s="1"/>
  <c r="CG196" i="7" s="1"/>
  <c r="AC196" i="7"/>
  <c r="AE191" i="7"/>
  <c r="AD191" i="7"/>
  <c r="AF191" i="7" s="1"/>
  <c r="AC191" i="7"/>
  <c r="AD240" i="7"/>
  <c r="AF240" i="7" s="1"/>
  <c r="AG240" i="7" s="1"/>
  <c r="CG240" i="7" s="1"/>
  <c r="AE240" i="7"/>
  <c r="AC240" i="7"/>
  <c r="AE205" i="7"/>
  <c r="AC205" i="7"/>
  <c r="AD205" i="7"/>
  <c r="AF205" i="7" s="1"/>
  <c r="AE241" i="7"/>
  <c r="AD241" i="7"/>
  <c r="AF241" i="7" s="1"/>
  <c r="AC241" i="7"/>
  <c r="AC247" i="7"/>
  <c r="AE247" i="7"/>
  <c r="AD247" i="7"/>
  <c r="AF247" i="7" s="1"/>
  <c r="AG247" i="7" s="1"/>
  <c r="AE233" i="7"/>
  <c r="AD233" i="7"/>
  <c r="AF233" i="7" s="1"/>
  <c r="AC233" i="7"/>
  <c r="AE226" i="7"/>
  <c r="AD226" i="7"/>
  <c r="AF226" i="7" s="1"/>
  <c r="AG226" i="7" s="1"/>
  <c r="CG226" i="7" s="1"/>
  <c r="AC226" i="7"/>
  <c r="AE222" i="7"/>
  <c r="AD222" i="7"/>
  <c r="AF222" i="7" s="1"/>
  <c r="AG222" i="7" s="1"/>
  <c r="AC222" i="7"/>
  <c r="AE199" i="7"/>
  <c r="AD199" i="7"/>
  <c r="AF199" i="7" s="1"/>
  <c r="AC199" i="7"/>
  <c r="AC185" i="7"/>
  <c r="AE185" i="7"/>
  <c r="AD185" i="7"/>
  <c r="AE207" i="7"/>
  <c r="AD207" i="7"/>
  <c r="AF207" i="7" s="1"/>
  <c r="AG207" i="7" s="1"/>
  <c r="CG207" i="7" s="1"/>
  <c r="AC207" i="7"/>
  <c r="AE187" i="7"/>
  <c r="AD187" i="7"/>
  <c r="AF187" i="7" s="1"/>
  <c r="AC187" i="7"/>
  <c r="AE137" i="7"/>
  <c r="AD137" i="7"/>
  <c r="AC137" i="7"/>
  <c r="AF137" i="7" s="1"/>
  <c r="AE243" i="7"/>
  <c r="AD243" i="7"/>
  <c r="AF243" i="7" s="1"/>
  <c r="AC243" i="7"/>
  <c r="AE212" i="7"/>
  <c r="AD212" i="7"/>
  <c r="AF212" i="7" s="1"/>
  <c r="AG212" i="7" s="1"/>
  <c r="CG212" i="7" s="1"/>
  <c r="AC212" i="7"/>
  <c r="AD202" i="7"/>
  <c r="AF202" i="7" s="1"/>
  <c r="AE202" i="7"/>
  <c r="AC202" i="7"/>
  <c r="AD228" i="7"/>
  <c r="AF228" i="7" s="1"/>
  <c r="AC228" i="7"/>
  <c r="AE228" i="7"/>
  <c r="AE215" i="7"/>
  <c r="AD215" i="7"/>
  <c r="AF215" i="7" s="1"/>
  <c r="AC215" i="7"/>
  <c r="AD194" i="7"/>
  <c r="AF194" i="7" s="1"/>
  <c r="AE194" i="7"/>
  <c r="AC194" i="7"/>
  <c r="AD190" i="7"/>
  <c r="AF190" i="7" s="1"/>
  <c r="AC190" i="7"/>
  <c r="AE190" i="7"/>
  <c r="AE237" i="7"/>
  <c r="AD237" i="7"/>
  <c r="AF237" i="7" s="1"/>
  <c r="AC237" i="7"/>
  <c r="AE221" i="7"/>
  <c r="AD221" i="7"/>
  <c r="AF221" i="7" s="1"/>
  <c r="AC221" i="7"/>
  <c r="AE184" i="7"/>
  <c r="AF184" i="7" s="1"/>
  <c r="AD184" i="7"/>
  <c r="AC184" i="7"/>
  <c r="AE246" i="7"/>
  <c r="AD246" i="7"/>
  <c r="AF246" i="7" s="1"/>
  <c r="AC246" i="7"/>
  <c r="AC231" i="7"/>
  <c r="AE231" i="7"/>
  <c r="AD231" i="7"/>
  <c r="AF231" i="7" s="1"/>
  <c r="AE225" i="7"/>
  <c r="AD225" i="7"/>
  <c r="AF225" i="7" s="1"/>
  <c r="AC225" i="7"/>
  <c r="AE197" i="7"/>
  <c r="AD197" i="7"/>
  <c r="AF197" i="7" s="1"/>
  <c r="AC197" i="7"/>
  <c r="AE242" i="7"/>
  <c r="AD242" i="7"/>
  <c r="AF242" i="7" s="1"/>
  <c r="AC242" i="7"/>
  <c r="AD138" i="7"/>
  <c r="AC138" i="7"/>
  <c r="AF138" i="7" s="1"/>
  <c r="AE138" i="7"/>
  <c r="AC239" i="7"/>
  <c r="AE239" i="7"/>
  <c r="AD239" i="7"/>
  <c r="AF239" i="7" s="1"/>
  <c r="AE208" i="7"/>
  <c r="AD208" i="7"/>
  <c r="AF208" i="7" s="1"/>
  <c r="AC208" i="7"/>
  <c r="AE234" i="7"/>
  <c r="AD234" i="7"/>
  <c r="AF234" i="7" s="1"/>
  <c r="AC234" i="7"/>
  <c r="AD214" i="7"/>
  <c r="AF214" i="7" s="1"/>
  <c r="AC214" i="7"/>
  <c r="AE214" i="7"/>
  <c r="AE200" i="7"/>
  <c r="AD200" i="7"/>
  <c r="AF200" i="7" s="1"/>
  <c r="AC200" i="7"/>
  <c r="AC193" i="7"/>
  <c r="AE193" i="7"/>
  <c r="AD193" i="7"/>
  <c r="AF193" i="7" s="1"/>
  <c r="AE189" i="7"/>
  <c r="AD189" i="7"/>
  <c r="AF189" i="7" s="1"/>
  <c r="AC189" i="7"/>
  <c r="AE219" i="7"/>
  <c r="AD219" i="7"/>
  <c r="AF219" i="7" s="1"/>
  <c r="AC219" i="7"/>
  <c r="AD236" i="7"/>
  <c r="AF236" i="7" s="1"/>
  <c r="AC236" i="7"/>
  <c r="AE236" i="7"/>
  <c r="AD210" i="7"/>
  <c r="AF210" i="7" s="1"/>
  <c r="AE210" i="7"/>
  <c r="AC210" i="7"/>
  <c r="AE249" i="7"/>
  <c r="AD249" i="7"/>
  <c r="AF249" i="7" s="1"/>
  <c r="AC249" i="7"/>
  <c r="AE229" i="7"/>
  <c r="AD229" i="7"/>
  <c r="AF229" i="7" s="1"/>
  <c r="AC229" i="7"/>
  <c r="AD224" i="7"/>
  <c r="AF224" i="7" s="1"/>
  <c r="AE224" i="7"/>
  <c r="AC224" i="7"/>
  <c r="AE195" i="7"/>
  <c r="AD195" i="7"/>
  <c r="AF195" i="7" s="1"/>
  <c r="AC195" i="7"/>
  <c r="AE238" i="7"/>
  <c r="AD238" i="7"/>
  <c r="AF238" i="7" s="1"/>
  <c r="AC238" i="7"/>
  <c r="AE186" i="7"/>
  <c r="AC186" i="7"/>
  <c r="AD186" i="7"/>
  <c r="AF186" i="7" s="1"/>
  <c r="CJ227" i="7"/>
  <c r="AG228" i="7"/>
  <c r="AT137" i="7"/>
  <c r="AU137" i="7" s="1"/>
  <c r="AV137" i="7" s="1"/>
  <c r="C130" i="7"/>
  <c r="C127" i="7"/>
  <c r="C264" i="7"/>
  <c r="C131" i="7"/>
  <c r="E44" i="23" s="1"/>
  <c r="C132" i="7"/>
  <c r="C182" i="7"/>
  <c r="C125" i="7"/>
  <c r="C133" i="7"/>
  <c r="C204" i="7"/>
  <c r="C126" i="7"/>
  <c r="C134" i="7"/>
  <c r="C194" i="7"/>
  <c r="C227" i="7"/>
  <c r="C136" i="7"/>
  <c r="C183" i="7"/>
  <c r="C128" i="7"/>
  <c r="C135" i="7"/>
  <c r="C129" i="7"/>
  <c r="C261" i="7"/>
  <c r="C237" i="7"/>
  <c r="AG180" i="7"/>
  <c r="CG180" i="7" s="1"/>
  <c r="AG181" i="7"/>
  <c r="CG181" i="7" s="1"/>
  <c r="AG262" i="7"/>
  <c r="CG262" i="7" s="1"/>
  <c r="AY224" i="7"/>
  <c r="AY191" i="7"/>
  <c r="BQ204" i="7"/>
  <c r="BR204" i="7"/>
  <c r="CO204" i="7" s="1"/>
  <c r="CT204" i="7" s="1"/>
  <c r="BT236" i="7"/>
  <c r="BU236" i="7"/>
  <c r="BT252" i="7"/>
  <c r="BU252" i="7"/>
  <c r="BT257" i="7"/>
  <c r="BU257" i="7"/>
  <c r="BT255" i="7"/>
  <c r="BU255" i="7"/>
  <c r="BQ237" i="7"/>
  <c r="BR237" i="7"/>
  <c r="CO237" i="7" s="1"/>
  <c r="CT237" i="7" s="1"/>
  <c r="BU258" i="7"/>
  <c r="BT258" i="7"/>
  <c r="BT254" i="7"/>
  <c r="BU254" i="7"/>
  <c r="BU203" i="7"/>
  <c r="BT203" i="7"/>
  <c r="BT237" i="7"/>
  <c r="BU237" i="7"/>
  <c r="BU250" i="7"/>
  <c r="BT250" i="7"/>
  <c r="BU181" i="7"/>
  <c r="BT181" i="7"/>
  <c r="BN181" i="7"/>
  <c r="BL181" i="7"/>
  <c r="BM181" i="7"/>
  <c r="BR181" i="7"/>
  <c r="CO181" i="7" s="1"/>
  <c r="CT181" i="7" s="1"/>
  <c r="BQ181" i="7"/>
  <c r="BL180" i="7"/>
  <c r="BN180" i="7"/>
  <c r="BM180" i="7"/>
  <c r="BU180" i="7"/>
  <c r="BT180" i="7"/>
  <c r="BR180" i="7"/>
  <c r="CO180" i="7" s="1"/>
  <c r="CT180" i="7" s="1"/>
  <c r="BQ180" i="7"/>
  <c r="S229" i="7"/>
  <c r="AT138" i="7"/>
  <c r="AU138" i="7" s="1"/>
  <c r="AV138" i="7" s="1"/>
  <c r="AQ250" i="7"/>
  <c r="AR250" i="7" s="1"/>
  <c r="AS250" i="7" s="1"/>
  <c r="AL250" i="7"/>
  <c r="AQ255" i="7"/>
  <c r="AR255" i="7" s="1"/>
  <c r="AS255" i="7" s="1"/>
  <c r="AL255" i="7"/>
  <c r="AQ254" i="7"/>
  <c r="AR254" i="7" s="1"/>
  <c r="AS254" i="7" s="1"/>
  <c r="AL254" i="7"/>
  <c r="AQ253" i="7"/>
  <c r="AR253" i="7" s="1"/>
  <c r="AS253" i="7" s="1"/>
  <c r="AL253" i="7"/>
  <c r="AQ252" i="7"/>
  <c r="AR252" i="7" s="1"/>
  <c r="AS252" i="7" s="1"/>
  <c r="AL252" i="7"/>
  <c r="AQ251" i="7"/>
  <c r="AR251" i="7" s="1"/>
  <c r="AS251" i="7" s="1"/>
  <c r="AL251" i="7"/>
  <c r="CI228" i="7"/>
  <c r="CJ228" i="7" s="1"/>
  <c r="CJ238" i="7"/>
  <c r="CI149" i="7"/>
  <c r="AQ145" i="7"/>
  <c r="AR145" i="7" s="1"/>
  <c r="AS145" i="7" s="1"/>
  <c r="AL145" i="7"/>
  <c r="AB127" i="7"/>
  <c r="AT127" i="7"/>
  <c r="AU127" i="7" s="1"/>
  <c r="AV127" i="7" s="1"/>
  <c r="AQ146" i="7"/>
  <c r="AR146" i="7" s="1"/>
  <c r="AS146" i="7" s="1"/>
  <c r="AL146" i="7"/>
  <c r="AO146" i="7" s="1"/>
  <c r="AP146" i="7" s="1"/>
  <c r="AB157" i="7"/>
  <c r="AT157" i="7"/>
  <c r="AU157" i="7" s="1"/>
  <c r="AV157" i="7" s="1"/>
  <c r="AB255" i="7"/>
  <c r="AT255" i="7"/>
  <c r="AU255" i="7" s="1"/>
  <c r="AV255" i="7" s="1"/>
  <c r="AB126" i="7"/>
  <c r="AT126" i="7"/>
  <c r="AU126" i="7" s="1"/>
  <c r="AV126" i="7" s="1"/>
  <c r="AB261" i="7"/>
  <c r="AT261" i="7"/>
  <c r="AU261" i="7" s="1"/>
  <c r="AV261" i="7" s="1"/>
  <c r="AQ157" i="7"/>
  <c r="AR157" i="7" s="1"/>
  <c r="AS157" i="7" s="1"/>
  <c r="AL157" i="7"/>
  <c r="AB253" i="7"/>
  <c r="AT253" i="7"/>
  <c r="AU253" i="7" s="1"/>
  <c r="AV253" i="7" s="1"/>
  <c r="AQ258" i="7"/>
  <c r="AR258" i="7" s="1"/>
  <c r="AS258" i="7" s="1"/>
  <c r="AL258" i="7"/>
  <c r="AB259" i="7"/>
  <c r="AT259" i="7"/>
  <c r="AU259" i="7" s="1"/>
  <c r="AV259" i="7" s="1"/>
  <c r="AB125" i="7"/>
  <c r="AT125" i="7"/>
  <c r="AU125" i="7" s="1"/>
  <c r="AV125" i="7" s="1"/>
  <c r="AQ182" i="7"/>
  <c r="AR182" i="7" s="1"/>
  <c r="AS182" i="7" s="1"/>
  <c r="AL182" i="7"/>
  <c r="AB251" i="7"/>
  <c r="AT251" i="7"/>
  <c r="AU251" i="7" s="1"/>
  <c r="AV251" i="7" s="1"/>
  <c r="AB256" i="7"/>
  <c r="AT256" i="7"/>
  <c r="AU256" i="7" s="1"/>
  <c r="AV256" i="7" s="1"/>
  <c r="AB258" i="7"/>
  <c r="AT258" i="7"/>
  <c r="AU258" i="7" s="1"/>
  <c r="AV258" i="7" s="1"/>
  <c r="AB155" i="7"/>
  <c r="AT155" i="7"/>
  <c r="AU155" i="7" s="1"/>
  <c r="AV155" i="7" s="1"/>
  <c r="AB156" i="7"/>
  <c r="AT156" i="7"/>
  <c r="AU156" i="7" s="1"/>
  <c r="AV156" i="7" s="1"/>
  <c r="AB159" i="7"/>
  <c r="AT159" i="7"/>
  <c r="AU159" i="7" s="1"/>
  <c r="AV159" i="7" s="1"/>
  <c r="AB160" i="7"/>
  <c r="AT160" i="7"/>
  <c r="AU160" i="7" s="1"/>
  <c r="AV160" i="7" s="1"/>
  <c r="AB163" i="7"/>
  <c r="AT163" i="7"/>
  <c r="AU163" i="7" s="1"/>
  <c r="AV163" i="7" s="1"/>
  <c r="AB164" i="7"/>
  <c r="AT164" i="7"/>
  <c r="AU164" i="7" s="1"/>
  <c r="AV164" i="7" s="1"/>
  <c r="AB165" i="7"/>
  <c r="AT165" i="7"/>
  <c r="AU165" i="7" s="1"/>
  <c r="AV165" i="7" s="1"/>
  <c r="AB166" i="7"/>
  <c r="AT166" i="7"/>
  <c r="AU166" i="7" s="1"/>
  <c r="AV166" i="7" s="1"/>
  <c r="AB167" i="7"/>
  <c r="AT167" i="7"/>
  <c r="AU167" i="7" s="1"/>
  <c r="AV167" i="7" s="1"/>
  <c r="AB183" i="7"/>
  <c r="AT183" i="7"/>
  <c r="AU183" i="7" s="1"/>
  <c r="AV183" i="7" s="1"/>
  <c r="AQ168" i="7"/>
  <c r="AR168" i="7" s="1"/>
  <c r="AS168" i="7" s="1"/>
  <c r="AW168" i="7" s="1"/>
  <c r="AL168" i="7"/>
  <c r="AO168" i="7" s="1"/>
  <c r="AP168" i="7" s="1"/>
  <c r="AB257" i="7"/>
  <c r="AT257" i="7"/>
  <c r="AU257" i="7" s="1"/>
  <c r="AV257" i="7" s="1"/>
  <c r="AQ129" i="7"/>
  <c r="AR129" i="7" s="1"/>
  <c r="AS129" i="7" s="1"/>
  <c r="AL129" i="7"/>
  <c r="AB158" i="7"/>
  <c r="AT158" i="7"/>
  <c r="AU158" i="7" s="1"/>
  <c r="AV158" i="7" s="1"/>
  <c r="AB153" i="7"/>
  <c r="AT153" i="7"/>
  <c r="AU153" i="7" s="1"/>
  <c r="AV153" i="7" s="1"/>
  <c r="AQ155" i="7"/>
  <c r="AR155" i="7" s="1"/>
  <c r="AS155" i="7" s="1"/>
  <c r="AL155" i="7"/>
  <c r="AO155" i="7" s="1"/>
  <c r="AP155" i="7" s="1"/>
  <c r="AQ158" i="7"/>
  <c r="AR158" i="7" s="1"/>
  <c r="AS158" i="7" s="1"/>
  <c r="AL158" i="7"/>
  <c r="AQ260" i="7"/>
  <c r="AR260" i="7" s="1"/>
  <c r="AS260" i="7" s="1"/>
  <c r="AL260" i="7"/>
  <c r="AQ144" i="7"/>
  <c r="AR144" i="7" s="1"/>
  <c r="AS144" i="7" s="1"/>
  <c r="AL144" i="7"/>
  <c r="AQ257" i="7"/>
  <c r="AR257" i="7" s="1"/>
  <c r="AS257" i="7" s="1"/>
  <c r="AL257" i="7"/>
  <c r="AB169" i="7"/>
  <c r="AT169" i="7"/>
  <c r="AU169" i="7" s="1"/>
  <c r="AV169" i="7" s="1"/>
  <c r="AL148" i="7"/>
  <c r="AQ148" i="7"/>
  <c r="AR148" i="7" s="1"/>
  <c r="AS148" i="7" s="1"/>
  <c r="AQ154" i="7"/>
  <c r="AR154" i="7" s="1"/>
  <c r="AS154" i="7" s="1"/>
  <c r="AL154" i="7"/>
  <c r="AO154" i="7" s="1"/>
  <c r="AP154" i="7" s="1"/>
  <c r="AQ156" i="7"/>
  <c r="AR156" i="7" s="1"/>
  <c r="AS156" i="7" s="1"/>
  <c r="AL156" i="7"/>
  <c r="AO156" i="7" s="1"/>
  <c r="AP156" i="7" s="1"/>
  <c r="AQ169" i="7"/>
  <c r="AR169" i="7" s="1"/>
  <c r="AS169" i="7" s="1"/>
  <c r="AL169" i="7"/>
  <c r="AB170" i="7"/>
  <c r="AT170" i="7"/>
  <c r="AU170" i="7" s="1"/>
  <c r="AV170" i="7" s="1"/>
  <c r="AB254" i="7"/>
  <c r="AT254" i="7"/>
  <c r="AU254" i="7" s="1"/>
  <c r="AV254" i="7" s="1"/>
  <c r="AQ256" i="7"/>
  <c r="AR256" i="7" s="1"/>
  <c r="AS256" i="7" s="1"/>
  <c r="AL256" i="7"/>
  <c r="AQ149" i="7"/>
  <c r="AR149" i="7" s="1"/>
  <c r="AS149" i="7" s="1"/>
  <c r="AL149" i="7"/>
  <c r="AO149" i="7" s="1"/>
  <c r="AP149" i="7" s="1"/>
  <c r="AQ150" i="7"/>
  <c r="AR150" i="7" s="1"/>
  <c r="AS150" i="7" s="1"/>
  <c r="AL150" i="7"/>
  <c r="AO150" i="7" s="1"/>
  <c r="AP150" i="7" s="1"/>
  <c r="AQ151" i="7"/>
  <c r="AR151" i="7" s="1"/>
  <c r="AS151" i="7" s="1"/>
  <c r="AL151" i="7"/>
  <c r="AO151" i="7" s="1"/>
  <c r="AP151" i="7" s="1"/>
  <c r="AQ152" i="7"/>
  <c r="AR152" i="7" s="1"/>
  <c r="AS152" i="7" s="1"/>
  <c r="AL152" i="7"/>
  <c r="AO152" i="7" s="1"/>
  <c r="AP152" i="7" s="1"/>
  <c r="AQ170" i="7"/>
  <c r="AR170" i="7" s="1"/>
  <c r="AS170" i="7" s="1"/>
  <c r="AL170" i="7"/>
  <c r="AO170" i="7" s="1"/>
  <c r="AP170" i="7" s="1"/>
  <c r="AB171" i="7"/>
  <c r="AT171" i="7"/>
  <c r="AU171" i="7" s="1"/>
  <c r="AV171" i="7" s="1"/>
  <c r="AB144" i="7"/>
  <c r="AT144" i="7"/>
  <c r="AU144" i="7" s="1"/>
  <c r="AV144" i="7" s="1"/>
  <c r="AB252" i="7"/>
  <c r="AT252" i="7"/>
  <c r="AU252" i="7" s="1"/>
  <c r="AV252" i="7" s="1"/>
  <c r="AB128" i="7"/>
  <c r="AT128" i="7"/>
  <c r="AU128" i="7" s="1"/>
  <c r="AV128" i="7" s="1"/>
  <c r="AQ259" i="7"/>
  <c r="AR259" i="7" s="1"/>
  <c r="AS259" i="7" s="1"/>
  <c r="AL259" i="7"/>
  <c r="AB134" i="7"/>
  <c r="AT134" i="7"/>
  <c r="AU134" i="7" s="1"/>
  <c r="AV134" i="7" s="1"/>
  <c r="AQ147" i="7"/>
  <c r="AR147" i="7" s="1"/>
  <c r="AS147" i="7" s="1"/>
  <c r="AL147" i="7"/>
  <c r="AB168" i="7"/>
  <c r="AT168" i="7"/>
  <c r="AU168" i="7" s="1"/>
  <c r="AV168" i="7" s="1"/>
  <c r="AB260" i="7"/>
  <c r="AT260" i="7"/>
  <c r="AU260" i="7" s="1"/>
  <c r="AV260" i="7" s="1"/>
  <c r="AB129" i="7"/>
  <c r="AT129" i="7"/>
  <c r="AU129" i="7" s="1"/>
  <c r="AV129" i="7" s="1"/>
  <c r="AB130" i="7"/>
  <c r="AT130" i="7"/>
  <c r="AU130" i="7" s="1"/>
  <c r="AV130" i="7" s="1"/>
  <c r="AQ171" i="7"/>
  <c r="AR171" i="7" s="1"/>
  <c r="AS171" i="7" s="1"/>
  <c r="AL171" i="7"/>
  <c r="AO171" i="7" s="1"/>
  <c r="AP171" i="7" s="1"/>
  <c r="AB145" i="7"/>
  <c r="AT145" i="7"/>
  <c r="AU145" i="7" s="1"/>
  <c r="AV145" i="7" s="1"/>
  <c r="AB250" i="7"/>
  <c r="AT250" i="7"/>
  <c r="AU250" i="7" s="1"/>
  <c r="AV250" i="7" s="1"/>
  <c r="F228" i="7"/>
  <c r="AB133" i="7"/>
  <c r="AB154" i="7"/>
  <c r="AY227" i="7"/>
  <c r="F238" i="7"/>
  <c r="V239" i="7"/>
  <c r="AY204" i="7"/>
  <c r="S196" i="7"/>
  <c r="F195" i="7"/>
  <c r="V206" i="7"/>
  <c r="F205" i="7"/>
  <c r="S150" i="7"/>
  <c r="AK138" i="7"/>
  <c r="AY251" i="7"/>
  <c r="AY253" i="7"/>
  <c r="AY259" i="7"/>
  <c r="AY256" i="7"/>
  <c r="AK183" i="7"/>
  <c r="AK261" i="7"/>
  <c r="F170" i="7"/>
  <c r="AK137" i="7"/>
  <c r="F149" i="7"/>
  <c r="F159" i="7"/>
  <c r="AK177" i="7"/>
  <c r="C137" i="7"/>
  <c r="AK164" i="7"/>
  <c r="AK161" i="7"/>
  <c r="AK165" i="7"/>
  <c r="AK167" i="7"/>
  <c r="V160" i="7"/>
  <c r="T171" i="7"/>
  <c r="AK175" i="7"/>
  <c r="AK176" i="7"/>
  <c r="AK131" i="7"/>
  <c r="AK166" i="7"/>
  <c r="AK172" i="7"/>
  <c r="AK173" i="7"/>
  <c r="AK178" i="7"/>
  <c r="AA182" i="7"/>
  <c r="AK264" i="7"/>
  <c r="AA264" i="7"/>
  <c r="AK143" i="7"/>
  <c r="AK160" i="7"/>
  <c r="AA172" i="7"/>
  <c r="AK174" i="7"/>
  <c r="AA178" i="7"/>
  <c r="AA177" i="7"/>
  <c r="AA173" i="7"/>
  <c r="AA174" i="7"/>
  <c r="AA175" i="7"/>
  <c r="AA176" i="7"/>
  <c r="AK179" i="7"/>
  <c r="AA179" i="7"/>
  <c r="AK141" i="7"/>
  <c r="AK142" i="7"/>
  <c r="AK159" i="7"/>
  <c r="AK163" i="7"/>
  <c r="AA162" i="7"/>
  <c r="AK162" i="7"/>
  <c r="AA161" i="7"/>
  <c r="AK140" i="7"/>
  <c r="AK153" i="7"/>
  <c r="AA146" i="7"/>
  <c r="AA140" i="7"/>
  <c r="AA141" i="7"/>
  <c r="AA142" i="7"/>
  <c r="AA147" i="7"/>
  <c r="AA148" i="7"/>
  <c r="AA149" i="7"/>
  <c r="AA150" i="7"/>
  <c r="AA151" i="7"/>
  <c r="AA152" i="7"/>
  <c r="AA143" i="7"/>
  <c r="AK139" i="7"/>
  <c r="AA139" i="7"/>
  <c r="AA136" i="7"/>
  <c r="AK136" i="7"/>
  <c r="AK125" i="7"/>
  <c r="AK127" i="7"/>
  <c r="AK132" i="7"/>
  <c r="AK133" i="7"/>
  <c r="AK134" i="7"/>
  <c r="AA135" i="7"/>
  <c r="AK135" i="7"/>
  <c r="AY133" i="7"/>
  <c r="AY136" i="7"/>
  <c r="AY135" i="7"/>
  <c r="AY126" i="7"/>
  <c r="AK128" i="7"/>
  <c r="AA131" i="7"/>
  <c r="AY125" i="7"/>
  <c r="AY127" i="7"/>
  <c r="AY129" i="7"/>
  <c r="AY131" i="7"/>
  <c r="AY128" i="7"/>
  <c r="AK130" i="7"/>
  <c r="AY130" i="7"/>
  <c r="AA132" i="7"/>
  <c r="AK126" i="7"/>
  <c r="AY132" i="7"/>
  <c r="AY134" i="7"/>
  <c r="F120" i="7"/>
  <c r="F119" i="7"/>
  <c r="F118" i="7"/>
  <c r="AA117" i="7"/>
  <c r="F117" i="7"/>
  <c r="F116" i="7"/>
  <c r="F124" i="7"/>
  <c r="F123" i="7"/>
  <c r="F122" i="7"/>
  <c r="F121" i="7"/>
  <c r="F115" i="7"/>
  <c r="F114" i="7"/>
  <c r="AE274" i="25" l="1"/>
  <c r="AE275" i="25"/>
  <c r="AE299" i="25"/>
  <c r="AE296" i="25"/>
  <c r="AE294" i="25"/>
  <c r="AE295" i="25"/>
  <c r="AE276" i="25"/>
  <c r="AE297" i="25"/>
  <c r="AE277" i="25"/>
  <c r="AE329" i="25"/>
  <c r="AE325" i="25"/>
  <c r="AE324" i="25"/>
  <c r="AE326" i="25"/>
  <c r="AE339" i="25"/>
  <c r="AE335" i="25"/>
  <c r="AE336" i="25"/>
  <c r="AE337" i="25"/>
  <c r="AE224" i="25"/>
  <c r="AE229" i="25"/>
  <c r="AE225" i="25"/>
  <c r="AE227" i="25"/>
  <c r="CJ194" i="7"/>
  <c r="CI195" i="7"/>
  <c r="CJ195" i="7" s="1"/>
  <c r="DB195" i="7"/>
  <c r="CI223" i="7"/>
  <c r="CJ223" i="7" s="1"/>
  <c r="DB223" i="7"/>
  <c r="CI190" i="7"/>
  <c r="CJ190" i="7" s="1"/>
  <c r="DB190" i="7"/>
  <c r="AY189" i="7"/>
  <c r="AY226" i="7"/>
  <c r="AY247" i="7"/>
  <c r="AY192" i="7"/>
  <c r="AY184" i="7"/>
  <c r="AY217" i="7"/>
  <c r="AY194" i="7"/>
  <c r="AP239" i="7"/>
  <c r="CJ239" i="7" s="1"/>
  <c r="BP239" i="7"/>
  <c r="AO239" i="7"/>
  <c r="BP206" i="7"/>
  <c r="AO206" i="7"/>
  <c r="AP206" i="7"/>
  <c r="CJ206" i="7" s="1"/>
  <c r="AN229" i="7"/>
  <c r="DB229" i="7" s="1"/>
  <c r="BK229" i="7"/>
  <c r="AM229" i="7"/>
  <c r="AO160" i="7"/>
  <c r="BP160" i="7"/>
  <c r="AP160" i="7"/>
  <c r="BS171" i="7"/>
  <c r="AW171" i="7"/>
  <c r="CH171" i="7" s="1"/>
  <c r="CI171" i="7" s="1"/>
  <c r="AM196" i="7"/>
  <c r="BK196" i="7"/>
  <c r="AN196" i="7"/>
  <c r="BK150" i="7"/>
  <c r="AM150" i="7"/>
  <c r="AN150" i="7"/>
  <c r="DB150" i="7" s="1"/>
  <c r="AY185" i="7"/>
  <c r="AY221" i="7"/>
  <c r="AY216" i="7"/>
  <c r="AY187" i="7"/>
  <c r="AY214" i="7"/>
  <c r="AY193" i="7"/>
  <c r="AY235" i="7"/>
  <c r="AY222" i="7"/>
  <c r="AY249" i="7"/>
  <c r="AY225" i="7"/>
  <c r="AY219" i="7"/>
  <c r="AY202" i="7"/>
  <c r="AY188" i="7"/>
  <c r="AY213" i="7"/>
  <c r="AY215" i="7"/>
  <c r="AY218" i="7"/>
  <c r="AY186" i="7"/>
  <c r="AY246" i="7"/>
  <c r="AY220" i="7"/>
  <c r="AY248" i="7"/>
  <c r="CT259" i="7"/>
  <c r="AO259" i="7"/>
  <c r="AP259" i="7" s="1"/>
  <c r="AO148" i="7"/>
  <c r="AP148" i="7" s="1"/>
  <c r="CJ148" i="7" s="1"/>
  <c r="CT258" i="7"/>
  <c r="AO258" i="7"/>
  <c r="AP258" i="7" s="1"/>
  <c r="CT253" i="7"/>
  <c r="AO253" i="7"/>
  <c r="AP253" i="7" s="1"/>
  <c r="AO169" i="7"/>
  <c r="AP169" i="7" s="1"/>
  <c r="CJ169" i="7" s="1"/>
  <c r="AO182" i="7"/>
  <c r="AP182" i="7" s="1"/>
  <c r="CJ182" i="7" s="1"/>
  <c r="AM145" i="7"/>
  <c r="AN145" i="7" s="1"/>
  <c r="AO145" i="7"/>
  <c r="AP145" i="7" s="1"/>
  <c r="CT254" i="7"/>
  <c r="AO254" i="7"/>
  <c r="AP254" i="7" s="1"/>
  <c r="AO147" i="7"/>
  <c r="AP147" i="7" s="1"/>
  <c r="CJ147" i="7" s="1"/>
  <c r="CT256" i="7"/>
  <c r="AO256" i="7"/>
  <c r="AP256" i="7" s="1"/>
  <c r="CT257" i="7"/>
  <c r="AO257" i="7"/>
  <c r="AP257" i="7" s="1"/>
  <c r="AO157" i="7"/>
  <c r="AP157" i="7" s="1"/>
  <c r="AY157" i="7" s="1"/>
  <c r="CT251" i="7"/>
  <c r="AO251" i="7"/>
  <c r="AP251" i="7" s="1"/>
  <c r="CT255" i="7"/>
  <c r="AO255" i="7"/>
  <c r="AP255" i="7" s="1"/>
  <c r="AO144" i="7"/>
  <c r="AP144" i="7" s="1"/>
  <c r="CJ144" i="7" s="1"/>
  <c r="CT252" i="7"/>
  <c r="AO252" i="7"/>
  <c r="AP252" i="7" s="1"/>
  <c r="CT250" i="7"/>
  <c r="AO250" i="7"/>
  <c r="AP250" i="7" s="1"/>
  <c r="AF185" i="7"/>
  <c r="AG185" i="7" s="1"/>
  <c r="AF230" i="7"/>
  <c r="AG230" i="7" s="1"/>
  <c r="AW137" i="7"/>
  <c r="CH137" i="7" s="1"/>
  <c r="CG263" i="7"/>
  <c r="CQ263" i="7" s="1"/>
  <c r="BY263" i="7"/>
  <c r="BZ263" i="7"/>
  <c r="AX263" i="7"/>
  <c r="AZ263" i="7" s="1"/>
  <c r="BA263" i="7" s="1"/>
  <c r="BB263" i="7" s="1"/>
  <c r="BW263" i="7"/>
  <c r="AG214" i="7"/>
  <c r="AG221" i="7"/>
  <c r="AG233" i="7"/>
  <c r="AG195" i="7"/>
  <c r="AG236" i="7"/>
  <c r="AG197" i="7"/>
  <c r="AG186" i="7"/>
  <c r="AG249" i="7"/>
  <c r="AG234" i="7"/>
  <c r="AG246" i="7"/>
  <c r="AG219" i="7"/>
  <c r="AG237" i="7"/>
  <c r="AG225" i="7"/>
  <c r="AG215" i="7"/>
  <c r="AG224" i="7"/>
  <c r="AG210" i="7"/>
  <c r="AG231" i="7"/>
  <c r="AG184" i="7"/>
  <c r="AG187" i="7"/>
  <c r="AG241" i="7"/>
  <c r="AG245" i="7"/>
  <c r="AG198" i="7"/>
  <c r="AG190" i="7"/>
  <c r="AG199" i="7"/>
  <c r="AG191" i="7"/>
  <c r="AG217" i="7"/>
  <c r="AD250" i="7"/>
  <c r="AC250" i="7"/>
  <c r="AE250" i="7"/>
  <c r="AF250" i="7" s="1"/>
  <c r="AG250" i="7" s="1"/>
  <c r="CG250" i="7" s="1"/>
  <c r="AC153" i="7"/>
  <c r="AE153" i="7"/>
  <c r="AD153" i="7"/>
  <c r="AF153" i="7" s="1"/>
  <c r="AC257" i="7"/>
  <c r="AE257" i="7"/>
  <c r="AD257" i="7"/>
  <c r="AF257" i="7" s="1"/>
  <c r="AE166" i="7"/>
  <c r="AD166" i="7"/>
  <c r="AF166" i="7" s="1"/>
  <c r="AG166" i="7" s="1"/>
  <c r="CG166" i="7" s="1"/>
  <c r="AC166" i="7"/>
  <c r="AD160" i="7"/>
  <c r="AF160" i="7" s="1"/>
  <c r="AG160" i="7" s="1"/>
  <c r="CG160" i="7" s="1"/>
  <c r="AC160" i="7"/>
  <c r="AE160" i="7"/>
  <c r="AD258" i="7"/>
  <c r="AF258" i="7" s="1"/>
  <c r="AC258" i="7"/>
  <c r="AE258" i="7"/>
  <c r="AD125" i="7"/>
  <c r="AF125" i="7" s="1"/>
  <c r="AG125" i="7" s="1"/>
  <c r="AE125" i="7"/>
  <c r="AC125" i="7"/>
  <c r="AE157" i="7"/>
  <c r="AD157" i="7"/>
  <c r="AF157" i="7" s="1"/>
  <c r="AC157" i="7"/>
  <c r="AE154" i="7"/>
  <c r="AD154" i="7"/>
  <c r="AF154" i="7" s="1"/>
  <c r="AC154" i="7"/>
  <c r="AE145" i="7"/>
  <c r="AD145" i="7"/>
  <c r="AF145" i="7" s="1"/>
  <c r="AC145" i="7"/>
  <c r="AC260" i="7"/>
  <c r="AE260" i="7"/>
  <c r="AD260" i="7"/>
  <c r="AF260" i="7" s="1"/>
  <c r="AC171" i="7"/>
  <c r="AE171" i="7"/>
  <c r="AD171" i="7"/>
  <c r="AF171" i="7" s="1"/>
  <c r="AG171" i="7" s="1"/>
  <c r="CG171" i="7" s="1"/>
  <c r="AE170" i="7"/>
  <c r="AD170" i="7"/>
  <c r="AF170" i="7" s="1"/>
  <c r="AC170" i="7"/>
  <c r="AD133" i="7"/>
  <c r="AF133" i="7" s="1"/>
  <c r="AC133" i="7"/>
  <c r="AE133" i="7"/>
  <c r="AD158" i="7"/>
  <c r="AF158" i="7" s="1"/>
  <c r="AC158" i="7"/>
  <c r="AE158" i="7"/>
  <c r="AE165" i="7"/>
  <c r="AD165" i="7"/>
  <c r="AF165" i="7" s="1"/>
  <c r="AC165" i="7"/>
  <c r="AE159" i="7"/>
  <c r="AD159" i="7"/>
  <c r="AF159" i="7" s="1"/>
  <c r="AC159" i="7"/>
  <c r="AE256" i="7"/>
  <c r="AD256" i="7"/>
  <c r="AF256" i="7" s="1"/>
  <c r="AC256" i="7"/>
  <c r="AE259" i="7"/>
  <c r="AD259" i="7"/>
  <c r="AF259" i="7" s="1"/>
  <c r="AC259" i="7"/>
  <c r="AD261" i="7"/>
  <c r="AF261" i="7" s="1"/>
  <c r="AE261" i="7"/>
  <c r="AC261" i="7"/>
  <c r="AD168" i="7"/>
  <c r="AF168" i="7" s="1"/>
  <c r="AC168" i="7"/>
  <c r="AE168" i="7"/>
  <c r="AC128" i="7"/>
  <c r="AE128" i="7"/>
  <c r="AD128" i="7"/>
  <c r="AF128" i="7" s="1"/>
  <c r="AD169" i="7"/>
  <c r="AF169" i="7" s="1"/>
  <c r="AC169" i="7"/>
  <c r="AE169" i="7"/>
  <c r="AE183" i="7"/>
  <c r="AD183" i="7"/>
  <c r="AF183" i="7" s="1"/>
  <c r="AC183" i="7"/>
  <c r="AE164" i="7"/>
  <c r="AC164" i="7"/>
  <c r="AD164" i="7"/>
  <c r="AF164" i="7" s="1"/>
  <c r="AE156" i="7"/>
  <c r="AD156" i="7"/>
  <c r="AF156" i="7" s="1"/>
  <c r="AC156" i="7"/>
  <c r="AE251" i="7"/>
  <c r="AF251" i="7" s="1"/>
  <c r="AD251" i="7"/>
  <c r="AC251" i="7"/>
  <c r="AE126" i="7"/>
  <c r="AD126" i="7"/>
  <c r="AF126" i="7" s="1"/>
  <c r="AC126" i="7"/>
  <c r="AD127" i="7"/>
  <c r="AF127" i="7" s="1"/>
  <c r="AC127" i="7"/>
  <c r="AE127" i="7"/>
  <c r="AC130" i="7"/>
  <c r="AE130" i="7"/>
  <c r="AD130" i="7"/>
  <c r="AF130" i="7" s="1"/>
  <c r="AE252" i="7"/>
  <c r="AD252" i="7"/>
  <c r="AF252" i="7" s="1"/>
  <c r="AC252" i="7"/>
  <c r="AE167" i="7"/>
  <c r="AD167" i="7"/>
  <c r="AF167" i="7" s="1"/>
  <c r="AC167" i="7"/>
  <c r="AC163" i="7"/>
  <c r="AE163" i="7"/>
  <c r="AD163" i="7"/>
  <c r="AF163" i="7" s="1"/>
  <c r="AC155" i="7"/>
  <c r="AE155" i="7"/>
  <c r="AD155" i="7"/>
  <c r="AF155" i="7" s="1"/>
  <c r="AC253" i="7"/>
  <c r="AE253" i="7"/>
  <c r="AD253" i="7"/>
  <c r="AF253" i="7" s="1"/>
  <c r="AE255" i="7"/>
  <c r="AD255" i="7"/>
  <c r="AF255" i="7" s="1"/>
  <c r="AC255" i="7"/>
  <c r="AE129" i="7"/>
  <c r="AD129" i="7"/>
  <c r="AF129" i="7" s="1"/>
  <c r="AC129" i="7"/>
  <c r="AE134" i="7"/>
  <c r="AD134" i="7"/>
  <c r="AF134" i="7" s="1"/>
  <c r="AC134" i="7"/>
  <c r="AD144" i="7"/>
  <c r="AF144" i="7" s="1"/>
  <c r="AC144" i="7"/>
  <c r="AE144" i="7"/>
  <c r="AD254" i="7"/>
  <c r="AF254" i="7" s="1"/>
  <c r="AE254" i="7"/>
  <c r="AC254" i="7"/>
  <c r="AY159" i="7"/>
  <c r="CJ170" i="7"/>
  <c r="CJ149" i="7"/>
  <c r="CI229" i="7"/>
  <c r="CJ229" i="7" s="1"/>
  <c r="AG145" i="7"/>
  <c r="CG145" i="7" s="1"/>
  <c r="AG153" i="7"/>
  <c r="CG228" i="7"/>
  <c r="CQ228" i="7" s="1"/>
  <c r="CG220" i="7"/>
  <c r="CQ220" i="7" s="1"/>
  <c r="CG216" i="7"/>
  <c r="CQ216" i="7" s="1"/>
  <c r="CG227" i="7"/>
  <c r="CQ227" i="7" s="1"/>
  <c r="CG209" i="7"/>
  <c r="CQ209" i="7" s="1"/>
  <c r="CG247" i="7"/>
  <c r="CQ247" i="7" s="1"/>
  <c r="CG222" i="7"/>
  <c r="CQ222" i="7" s="1"/>
  <c r="CG188" i="7"/>
  <c r="CQ188" i="7" s="1"/>
  <c r="AX209" i="7"/>
  <c r="AX206" i="7"/>
  <c r="CQ206" i="7"/>
  <c r="CQ181" i="7"/>
  <c r="BW226" i="7"/>
  <c r="CQ226" i="7"/>
  <c r="AX240" i="7"/>
  <c r="CQ240" i="7"/>
  <c r="AX207" i="7"/>
  <c r="CQ207" i="7"/>
  <c r="AX212" i="7"/>
  <c r="CQ212" i="7"/>
  <c r="BZ262" i="7"/>
  <c r="CQ262" i="7"/>
  <c r="AX180" i="7"/>
  <c r="AZ180" i="7" s="1"/>
  <c r="BA180" i="7" s="1"/>
  <c r="BB180" i="7" s="1"/>
  <c r="DC180" i="7" s="1"/>
  <c r="CQ180" i="7"/>
  <c r="AX196" i="7"/>
  <c r="CQ196" i="7"/>
  <c r="AX211" i="7"/>
  <c r="CQ211" i="7"/>
  <c r="AX181" i="7"/>
  <c r="AZ181" i="7" s="1"/>
  <c r="BA181" i="7" s="1"/>
  <c r="BB181" i="7" s="1"/>
  <c r="DC181" i="7" s="1"/>
  <c r="C114" i="7"/>
  <c r="E43" i="23" s="1"/>
  <c r="C195" i="7"/>
  <c r="C238" i="7"/>
  <c r="E47" i="23" s="1"/>
  <c r="C118" i="7"/>
  <c r="C117" i="7"/>
  <c r="C159" i="7"/>
  <c r="C149" i="7"/>
  <c r="C205" i="7"/>
  <c r="C119" i="7"/>
  <c r="C120" i="7"/>
  <c r="C116" i="7"/>
  <c r="C170" i="7"/>
  <c r="C228" i="7"/>
  <c r="C123" i="7"/>
  <c r="C124" i="7"/>
  <c r="C115" i="7"/>
  <c r="C121" i="7"/>
  <c r="C122" i="7"/>
  <c r="AY228" i="7"/>
  <c r="AX226" i="7"/>
  <c r="F229" i="7"/>
  <c r="S230" i="7"/>
  <c r="S231" i="7" s="1"/>
  <c r="BW228" i="7"/>
  <c r="AX262" i="7"/>
  <c r="AZ262" i="7" s="1"/>
  <c r="BA262" i="7" s="1"/>
  <c r="BB262" i="7" s="1"/>
  <c r="BZ180" i="7"/>
  <c r="BZ181" i="7"/>
  <c r="BW180" i="7"/>
  <c r="BW216" i="7"/>
  <c r="BW247" i="7"/>
  <c r="BW227" i="7"/>
  <c r="BW222" i="7"/>
  <c r="BW181" i="7"/>
  <c r="BW262" i="7"/>
  <c r="BW188" i="7"/>
  <c r="BW220" i="7"/>
  <c r="F188" i="7"/>
  <c r="AX188" i="7"/>
  <c r="BY262" i="7"/>
  <c r="AG239" i="7"/>
  <c r="AG137" i="7"/>
  <c r="AG208" i="7"/>
  <c r="AG244" i="7"/>
  <c r="AG203" i="7"/>
  <c r="CG203" i="7" s="1"/>
  <c r="AG248" i="7"/>
  <c r="CG248" i="7" s="1"/>
  <c r="AG205" i="7"/>
  <c r="CG205" i="7" s="1"/>
  <c r="AG238" i="7"/>
  <c r="CG238" i="7" s="1"/>
  <c r="AG138" i="7"/>
  <c r="CG138" i="7" s="1"/>
  <c r="AG223" i="7"/>
  <c r="CG223" i="7" s="1"/>
  <c r="AG201" i="7"/>
  <c r="AG229" i="7"/>
  <c r="CG229" i="7" s="1"/>
  <c r="AG232" i="7"/>
  <c r="AG189" i="7"/>
  <c r="AG242" i="7"/>
  <c r="CG242" i="7" s="1"/>
  <c r="AG202" i="7"/>
  <c r="CG202" i="7" s="1"/>
  <c r="AG192" i="7"/>
  <c r="CG192" i="7" s="1"/>
  <c r="AG243" i="7"/>
  <c r="AG194" i="7"/>
  <c r="AG213" i="7"/>
  <c r="AG193" i="7"/>
  <c r="CG193" i="7" s="1"/>
  <c r="AG204" i="7"/>
  <c r="CG204" i="7" s="1"/>
  <c r="AG218" i="7"/>
  <c r="CG218" i="7" s="1"/>
  <c r="AG200" i="7"/>
  <c r="AG235" i="7"/>
  <c r="CG235" i="7" s="1"/>
  <c r="AY146" i="7"/>
  <c r="BT204" i="7"/>
  <c r="BU204" i="7"/>
  <c r="BQ205" i="7"/>
  <c r="BR205" i="7"/>
  <c r="CO205" i="7" s="1"/>
  <c r="CT205" i="7" s="1"/>
  <c r="BU125" i="7"/>
  <c r="BT125" i="7"/>
  <c r="BU127" i="7"/>
  <c r="BT127" i="7"/>
  <c r="BT130" i="7"/>
  <c r="BU130" i="7"/>
  <c r="BU126" i="7"/>
  <c r="BT126" i="7"/>
  <c r="BU256" i="7"/>
  <c r="BT256" i="7"/>
  <c r="BQ238" i="7"/>
  <c r="BR238" i="7"/>
  <c r="CO238" i="7" s="1"/>
  <c r="CT238" i="7" s="1"/>
  <c r="BU129" i="7"/>
  <c r="BT129" i="7"/>
  <c r="BU135" i="7"/>
  <c r="BT135" i="7"/>
  <c r="BU159" i="7"/>
  <c r="BT159" i="7"/>
  <c r="BU259" i="7"/>
  <c r="BT259" i="7"/>
  <c r="BU133" i="7"/>
  <c r="BT133" i="7"/>
  <c r="BT128" i="7"/>
  <c r="BU128" i="7"/>
  <c r="BU131" i="7"/>
  <c r="BT131" i="7"/>
  <c r="BT136" i="7"/>
  <c r="BU136" i="7"/>
  <c r="BT253" i="7"/>
  <c r="BU253" i="7"/>
  <c r="BR159" i="7"/>
  <c r="CO159" i="7" s="1"/>
  <c r="CT159" i="7" s="1"/>
  <c r="BQ159" i="7"/>
  <c r="BU134" i="7"/>
  <c r="BT134" i="7"/>
  <c r="BU251" i="7"/>
  <c r="BT251" i="7"/>
  <c r="BT132" i="7"/>
  <c r="BU132" i="7"/>
  <c r="BO180" i="7"/>
  <c r="BO181" i="7"/>
  <c r="BT246" i="7"/>
  <c r="BU246" i="7"/>
  <c r="BT222" i="7"/>
  <c r="BU222" i="7"/>
  <c r="BT224" i="7"/>
  <c r="BU224" i="7"/>
  <c r="BT215" i="7"/>
  <c r="BU215" i="7"/>
  <c r="BL185" i="7"/>
  <c r="BM185" i="7"/>
  <c r="BN185" i="7"/>
  <c r="BN221" i="7"/>
  <c r="BM221" i="7"/>
  <c r="BL221" i="7"/>
  <c r="BU217" i="7"/>
  <c r="BT217" i="7"/>
  <c r="BU191" i="7"/>
  <c r="BT191" i="7"/>
  <c r="BL222" i="7"/>
  <c r="BM222" i="7"/>
  <c r="BN222" i="7"/>
  <c r="BR235" i="7"/>
  <c r="CO235" i="7" s="1"/>
  <c r="CT235" i="7" s="1"/>
  <c r="BQ235" i="7"/>
  <c r="BL202" i="7"/>
  <c r="BN202" i="7"/>
  <c r="BM202" i="7"/>
  <c r="BL188" i="7"/>
  <c r="BM188" i="7"/>
  <c r="BN188" i="7"/>
  <c r="BL247" i="7"/>
  <c r="BM247" i="7"/>
  <c r="BN247" i="7"/>
  <c r="BN224" i="7"/>
  <c r="BM224" i="7"/>
  <c r="BL224" i="7"/>
  <c r="BU248" i="7"/>
  <c r="BT248" i="7"/>
  <c r="BR192" i="7"/>
  <c r="CO192" i="7" s="1"/>
  <c r="CT192" i="7" s="1"/>
  <c r="BQ192" i="7"/>
  <c r="BR185" i="7"/>
  <c r="BQ185" i="7"/>
  <c r="BR221" i="7"/>
  <c r="BQ221" i="7"/>
  <c r="BN217" i="7"/>
  <c r="BM217" i="7"/>
  <c r="BL217" i="7"/>
  <c r="BR222" i="7"/>
  <c r="BQ222" i="7"/>
  <c r="BT235" i="7"/>
  <c r="BU235" i="7"/>
  <c r="BU202" i="7"/>
  <c r="BT202" i="7"/>
  <c r="BL214" i="7"/>
  <c r="BN214" i="7"/>
  <c r="BM214" i="7"/>
  <c r="BR224" i="7"/>
  <c r="BQ224" i="7"/>
  <c r="BN248" i="7"/>
  <c r="BM248" i="7"/>
  <c r="BL248" i="7"/>
  <c r="BT192" i="7"/>
  <c r="BU192" i="7"/>
  <c r="BT225" i="7"/>
  <c r="BU225" i="7"/>
  <c r="BU221" i="7"/>
  <c r="BT221" i="7"/>
  <c r="BR217" i="7"/>
  <c r="BQ217" i="7"/>
  <c r="BL226" i="7"/>
  <c r="BN226" i="7"/>
  <c r="BM226" i="7"/>
  <c r="BN235" i="7"/>
  <c r="BM235" i="7"/>
  <c r="BL235" i="7"/>
  <c r="BR202" i="7"/>
  <c r="CO202" i="7" s="1"/>
  <c r="CT202" i="7" s="1"/>
  <c r="BQ202" i="7"/>
  <c r="BT214" i="7"/>
  <c r="BU214" i="7"/>
  <c r="BR215" i="7"/>
  <c r="BQ215" i="7"/>
  <c r="BU185" i="7"/>
  <c r="BT185" i="7"/>
  <c r="BT188" i="7"/>
  <c r="BU188" i="7"/>
  <c r="BU249" i="7"/>
  <c r="BT249" i="7"/>
  <c r="BR248" i="7"/>
  <c r="CO248" i="7" s="1"/>
  <c r="CT248" i="7" s="1"/>
  <c r="BQ248" i="7"/>
  <c r="BL192" i="7"/>
  <c r="BN192" i="7"/>
  <c r="BM192" i="7"/>
  <c r="BN225" i="7"/>
  <c r="BM225" i="7"/>
  <c r="BL225" i="7"/>
  <c r="BL216" i="7"/>
  <c r="BN216" i="7"/>
  <c r="BM216" i="7"/>
  <c r="BU187" i="7"/>
  <c r="BT187" i="7"/>
  <c r="BR226" i="7"/>
  <c r="BQ226" i="7"/>
  <c r="BL220" i="7"/>
  <c r="BN220" i="7"/>
  <c r="BM220" i="7"/>
  <c r="BR193" i="7"/>
  <c r="CO193" i="7" s="1"/>
  <c r="CT193" i="7" s="1"/>
  <c r="BQ193" i="7"/>
  <c r="BQ214" i="7"/>
  <c r="BR214" i="7"/>
  <c r="BN249" i="7"/>
  <c r="BM249" i="7"/>
  <c r="BL249" i="7"/>
  <c r="BL218" i="7"/>
  <c r="BN218" i="7"/>
  <c r="BM218" i="7"/>
  <c r="BQ225" i="7"/>
  <c r="BR225" i="7"/>
  <c r="BT216" i="7"/>
  <c r="BU216" i="7"/>
  <c r="BN187" i="7"/>
  <c r="BL187" i="7"/>
  <c r="BM187" i="7"/>
  <c r="BL186" i="7"/>
  <c r="BN186" i="7"/>
  <c r="BM186" i="7"/>
  <c r="BT226" i="7"/>
  <c r="BU226" i="7"/>
  <c r="BR220" i="7"/>
  <c r="BQ220" i="7"/>
  <c r="BU193" i="7"/>
  <c r="BT193" i="7"/>
  <c r="BR219" i="7"/>
  <c r="BQ219" i="7"/>
  <c r="BR191" i="7"/>
  <c r="BQ191" i="7"/>
  <c r="BR249" i="7"/>
  <c r="BQ249" i="7"/>
  <c r="BT218" i="7"/>
  <c r="BU218" i="7"/>
  <c r="BN246" i="7"/>
  <c r="BL246" i="7"/>
  <c r="BM246" i="7"/>
  <c r="BR216" i="7"/>
  <c r="BQ216" i="7"/>
  <c r="BR187" i="7"/>
  <c r="BQ187" i="7"/>
  <c r="BU186" i="7"/>
  <c r="BT186" i="7"/>
  <c r="BR247" i="7"/>
  <c r="BQ247" i="7"/>
  <c r="BT220" i="7"/>
  <c r="BU220" i="7"/>
  <c r="BL193" i="7"/>
  <c r="BM193" i="7"/>
  <c r="BN193" i="7"/>
  <c r="BU219" i="7"/>
  <c r="BT219" i="7"/>
  <c r="BN215" i="7"/>
  <c r="BL215" i="7"/>
  <c r="BM215" i="7"/>
  <c r="BR218" i="7"/>
  <c r="CO218" i="7" s="1"/>
  <c r="CT218" i="7" s="1"/>
  <c r="BQ218" i="7"/>
  <c r="BR246" i="7"/>
  <c r="BQ246" i="7"/>
  <c r="BN191" i="7"/>
  <c r="BL191" i="7"/>
  <c r="BM191" i="7"/>
  <c r="BR186" i="7"/>
  <c r="BQ186" i="7"/>
  <c r="BT247" i="7"/>
  <c r="BU247" i="7"/>
  <c r="BR188" i="7"/>
  <c r="BQ188" i="7"/>
  <c r="BN219" i="7"/>
  <c r="BL219" i="7"/>
  <c r="BM219" i="7"/>
  <c r="S151" i="7"/>
  <c r="AY223" i="7"/>
  <c r="CJ160" i="7"/>
  <c r="CI150" i="7"/>
  <c r="CJ150" i="7" s="1"/>
  <c r="CH168" i="7"/>
  <c r="AQ139" i="7"/>
  <c r="AR139" i="7" s="1"/>
  <c r="AS139" i="7" s="1"/>
  <c r="AL139" i="7"/>
  <c r="AQ172" i="7"/>
  <c r="AR172" i="7" s="1"/>
  <c r="AS172" i="7" s="1"/>
  <c r="AL172" i="7"/>
  <c r="AO172" i="7" s="1"/>
  <c r="AP172" i="7" s="1"/>
  <c r="AL132" i="7"/>
  <c r="AQ132" i="7"/>
  <c r="AR132" i="7" s="1"/>
  <c r="AS132" i="7" s="1"/>
  <c r="AB143" i="7"/>
  <c r="AT143" i="7"/>
  <c r="AU143" i="7" s="1"/>
  <c r="AV143" i="7" s="1"/>
  <c r="AB141" i="7"/>
  <c r="AT141" i="7"/>
  <c r="AU141" i="7" s="1"/>
  <c r="AV141" i="7" s="1"/>
  <c r="AB175" i="7"/>
  <c r="AT175" i="7"/>
  <c r="AU175" i="7" s="1"/>
  <c r="AV175" i="7" s="1"/>
  <c r="AQ143" i="7"/>
  <c r="AR143" i="7" s="1"/>
  <c r="AS143" i="7" s="1"/>
  <c r="AL143" i="7"/>
  <c r="AQ166" i="7"/>
  <c r="AR166" i="7" s="1"/>
  <c r="AS166" i="7" s="1"/>
  <c r="AL166" i="7"/>
  <c r="AQ138" i="7"/>
  <c r="AR138" i="7" s="1"/>
  <c r="AS138" i="7" s="1"/>
  <c r="AW138" i="7" s="1"/>
  <c r="AL138" i="7"/>
  <c r="AB140" i="7"/>
  <c r="AT140" i="7"/>
  <c r="AU140" i="7" s="1"/>
  <c r="AV140" i="7" s="1"/>
  <c r="AQ163" i="7"/>
  <c r="AR163" i="7" s="1"/>
  <c r="AS163" i="7" s="1"/>
  <c r="AL163" i="7"/>
  <c r="AB174" i="7"/>
  <c r="AT174" i="7"/>
  <c r="AU174" i="7" s="1"/>
  <c r="AV174" i="7" s="1"/>
  <c r="AQ131" i="7"/>
  <c r="AR131" i="7" s="1"/>
  <c r="AS131" i="7" s="1"/>
  <c r="AL131" i="7"/>
  <c r="AQ167" i="7"/>
  <c r="AR167" i="7" s="1"/>
  <c r="AS167" i="7" s="1"/>
  <c r="AL167" i="7"/>
  <c r="AQ261" i="7"/>
  <c r="AR261" i="7" s="1"/>
  <c r="AS261" i="7" s="1"/>
  <c r="AL261" i="7"/>
  <c r="AQ159" i="7"/>
  <c r="AR159" i="7" s="1"/>
  <c r="AS159" i="7" s="1"/>
  <c r="AL159" i="7"/>
  <c r="AQ176" i="7"/>
  <c r="AR176" i="7" s="1"/>
  <c r="AS176" i="7" s="1"/>
  <c r="AL176" i="7"/>
  <c r="AO176" i="7" s="1"/>
  <c r="AP176" i="7" s="1"/>
  <c r="AQ177" i="7"/>
  <c r="AR177" i="7" s="1"/>
  <c r="AS177" i="7" s="1"/>
  <c r="AL177" i="7"/>
  <c r="AO177" i="7" s="1"/>
  <c r="AP177" i="7" s="1"/>
  <c r="AQ183" i="7"/>
  <c r="AR183" i="7" s="1"/>
  <c r="AS183" i="7" s="1"/>
  <c r="AL183" i="7"/>
  <c r="AQ125" i="7"/>
  <c r="AR125" i="7" s="1"/>
  <c r="AS125" i="7" s="1"/>
  <c r="AL125" i="7"/>
  <c r="AB173" i="7"/>
  <c r="AT173" i="7"/>
  <c r="AU173" i="7" s="1"/>
  <c r="AV173" i="7" s="1"/>
  <c r="AB150" i="7"/>
  <c r="AT150" i="7"/>
  <c r="AU150" i="7" s="1"/>
  <c r="AV150" i="7" s="1"/>
  <c r="AB177" i="7"/>
  <c r="AT177" i="7"/>
  <c r="AU177" i="7" s="1"/>
  <c r="AV177" i="7" s="1"/>
  <c r="AQ161" i="7"/>
  <c r="AR161" i="7" s="1"/>
  <c r="AS161" i="7" s="1"/>
  <c r="AL161" i="7"/>
  <c r="AB146" i="7"/>
  <c r="AT146" i="7"/>
  <c r="AU146" i="7" s="1"/>
  <c r="AV146" i="7" s="1"/>
  <c r="AQ165" i="7"/>
  <c r="AR165" i="7" s="1"/>
  <c r="AS165" i="7" s="1"/>
  <c r="AL165" i="7"/>
  <c r="AQ136" i="7"/>
  <c r="AR136" i="7" s="1"/>
  <c r="AS136" i="7" s="1"/>
  <c r="AL136" i="7"/>
  <c r="AQ142" i="7"/>
  <c r="AR142" i="7" s="1"/>
  <c r="AS142" i="7" s="1"/>
  <c r="AL142" i="7"/>
  <c r="AQ175" i="7"/>
  <c r="AR175" i="7" s="1"/>
  <c r="AS175" i="7" s="1"/>
  <c r="AL175" i="7"/>
  <c r="AO175" i="7" s="1"/>
  <c r="AP175" i="7" s="1"/>
  <c r="AB136" i="7"/>
  <c r="AT136" i="7"/>
  <c r="AU136" i="7" s="1"/>
  <c r="AV136" i="7" s="1"/>
  <c r="AL141" i="7"/>
  <c r="AQ141" i="7"/>
  <c r="AR141" i="7" s="1"/>
  <c r="AS141" i="7" s="1"/>
  <c r="AB182" i="7"/>
  <c r="AT182" i="7"/>
  <c r="AU182" i="7" s="1"/>
  <c r="AV182" i="7" s="1"/>
  <c r="AB151" i="7"/>
  <c r="AT151" i="7"/>
  <c r="AU151" i="7" s="1"/>
  <c r="AV151" i="7" s="1"/>
  <c r="AB264" i="7"/>
  <c r="AT264" i="7"/>
  <c r="AU264" i="7" s="1"/>
  <c r="AV264" i="7" s="1"/>
  <c r="AW264" i="7" s="1"/>
  <c r="AQ153" i="7"/>
  <c r="AR153" i="7" s="1"/>
  <c r="AS153" i="7" s="1"/>
  <c r="AL153" i="7"/>
  <c r="AO153" i="7" s="1"/>
  <c r="AP153" i="7" s="1"/>
  <c r="AQ264" i="7"/>
  <c r="AR264" i="7" s="1"/>
  <c r="AS264" i="7" s="1"/>
  <c r="AL264" i="7"/>
  <c r="AQ126" i="7"/>
  <c r="AR126" i="7" s="1"/>
  <c r="AS126" i="7" s="1"/>
  <c r="AL126" i="7"/>
  <c r="AQ135" i="7"/>
  <c r="AR135" i="7" s="1"/>
  <c r="AS135" i="7" s="1"/>
  <c r="AL135" i="7"/>
  <c r="AB149" i="7"/>
  <c r="AT149" i="7"/>
  <c r="AU149" i="7" s="1"/>
  <c r="AV149" i="7" s="1"/>
  <c r="AQ140" i="7"/>
  <c r="AR140" i="7" s="1"/>
  <c r="AS140" i="7" s="1"/>
  <c r="AL140" i="7"/>
  <c r="AB178" i="7"/>
  <c r="AT178" i="7"/>
  <c r="AU178" i="7" s="1"/>
  <c r="AV178" i="7" s="1"/>
  <c r="AB117" i="7"/>
  <c r="AT117" i="7"/>
  <c r="AU117" i="7" s="1"/>
  <c r="AV117" i="7" s="1"/>
  <c r="AB132" i="7"/>
  <c r="AT132" i="7"/>
  <c r="AU132" i="7" s="1"/>
  <c r="AV132" i="7" s="1"/>
  <c r="AB131" i="7"/>
  <c r="AT131" i="7"/>
  <c r="AU131" i="7" s="1"/>
  <c r="AV131" i="7" s="1"/>
  <c r="AB135" i="7"/>
  <c r="AT135" i="7"/>
  <c r="AU135" i="7" s="1"/>
  <c r="AV135" i="7" s="1"/>
  <c r="AB139" i="7"/>
  <c r="AT139" i="7"/>
  <c r="AU139" i="7" s="1"/>
  <c r="AV139" i="7" s="1"/>
  <c r="AB148" i="7"/>
  <c r="AT148" i="7"/>
  <c r="AU148" i="7" s="1"/>
  <c r="AV148" i="7" s="1"/>
  <c r="AB161" i="7"/>
  <c r="AT161" i="7"/>
  <c r="AU161" i="7" s="1"/>
  <c r="AV161" i="7" s="1"/>
  <c r="AB179" i="7"/>
  <c r="AT179" i="7"/>
  <c r="AU179" i="7" s="1"/>
  <c r="AV179" i="7" s="1"/>
  <c r="AQ174" i="7"/>
  <c r="AR174" i="7" s="1"/>
  <c r="AS174" i="7" s="1"/>
  <c r="AL174" i="7"/>
  <c r="AO174" i="7" s="1"/>
  <c r="AP174" i="7" s="1"/>
  <c r="AQ178" i="7"/>
  <c r="AR178" i="7" s="1"/>
  <c r="AS178" i="7" s="1"/>
  <c r="AL178" i="7"/>
  <c r="AO178" i="7" s="1"/>
  <c r="AP178" i="7" s="1"/>
  <c r="AQ127" i="7"/>
  <c r="AR127" i="7" s="1"/>
  <c r="AS127" i="7" s="1"/>
  <c r="AL127" i="7"/>
  <c r="AQ134" i="7"/>
  <c r="AR134" i="7" s="1"/>
  <c r="AS134" i="7" s="1"/>
  <c r="AL134" i="7"/>
  <c r="AQ162" i="7"/>
  <c r="AR162" i="7" s="1"/>
  <c r="AS162" i="7" s="1"/>
  <c r="AL162" i="7"/>
  <c r="AQ173" i="7"/>
  <c r="AR173" i="7" s="1"/>
  <c r="AS173" i="7" s="1"/>
  <c r="AL173" i="7"/>
  <c r="AO173" i="7" s="1"/>
  <c r="AP173" i="7" s="1"/>
  <c r="AB152" i="7"/>
  <c r="AT152" i="7"/>
  <c r="AU152" i="7" s="1"/>
  <c r="AV152" i="7" s="1"/>
  <c r="AQ128" i="7"/>
  <c r="AR128" i="7" s="1"/>
  <c r="AS128" i="7" s="1"/>
  <c r="AL128" i="7"/>
  <c r="AB147" i="7"/>
  <c r="AT147" i="7"/>
  <c r="AU147" i="7" s="1"/>
  <c r="AV147" i="7" s="1"/>
  <c r="AQ179" i="7"/>
  <c r="AR179" i="7" s="1"/>
  <c r="AS179" i="7" s="1"/>
  <c r="AL179" i="7"/>
  <c r="AO179" i="7" s="1"/>
  <c r="AP179" i="7" s="1"/>
  <c r="AB172" i="7"/>
  <c r="AT172" i="7"/>
  <c r="AU172" i="7" s="1"/>
  <c r="AV172" i="7" s="1"/>
  <c r="AL164" i="7"/>
  <c r="AQ164" i="7"/>
  <c r="AR164" i="7" s="1"/>
  <c r="AS164" i="7" s="1"/>
  <c r="AQ137" i="7"/>
  <c r="AR137" i="7" s="1"/>
  <c r="AS137" i="7" s="1"/>
  <c r="AL137" i="7"/>
  <c r="AQ130" i="7"/>
  <c r="AR130" i="7" s="1"/>
  <c r="AS130" i="7" s="1"/>
  <c r="AL130" i="7"/>
  <c r="AQ133" i="7"/>
  <c r="AR133" i="7" s="1"/>
  <c r="AS133" i="7" s="1"/>
  <c r="AL133" i="7"/>
  <c r="AB142" i="7"/>
  <c r="AT142" i="7"/>
  <c r="AU142" i="7" s="1"/>
  <c r="AV142" i="7" s="1"/>
  <c r="AB162" i="7"/>
  <c r="AT162" i="7"/>
  <c r="AU162" i="7" s="1"/>
  <c r="AV162" i="7" s="1"/>
  <c r="AB176" i="7"/>
  <c r="AT176" i="7"/>
  <c r="AU176" i="7" s="1"/>
  <c r="AV176" i="7" s="1"/>
  <c r="AQ160" i="7"/>
  <c r="AR160" i="7" s="1"/>
  <c r="AS160" i="7" s="1"/>
  <c r="AL160" i="7"/>
  <c r="F222" i="7"/>
  <c r="AX222" i="7"/>
  <c r="AX247" i="7"/>
  <c r="AX220" i="7"/>
  <c r="F220" i="7"/>
  <c r="AX216" i="7"/>
  <c r="AX227" i="7"/>
  <c r="AZ227" i="7" s="1"/>
  <c r="BA227" i="7" s="1"/>
  <c r="BB227" i="7" s="1"/>
  <c r="DC227" i="7" s="1"/>
  <c r="AX228" i="7"/>
  <c r="AY149" i="7"/>
  <c r="AY170" i="7"/>
  <c r="F239" i="7"/>
  <c r="V240" i="7"/>
  <c r="AY229" i="7"/>
  <c r="AY238" i="7"/>
  <c r="F150" i="7"/>
  <c r="F206" i="7"/>
  <c r="V207" i="7"/>
  <c r="F196" i="7"/>
  <c r="S197" i="7"/>
  <c r="AY190" i="7"/>
  <c r="AY195" i="7"/>
  <c r="AY205" i="7"/>
  <c r="F160" i="7"/>
  <c r="F171" i="7"/>
  <c r="T172" i="7"/>
  <c r="V161" i="7"/>
  <c r="AY160" i="7"/>
  <c r="AY118" i="7"/>
  <c r="AY120" i="7"/>
  <c r="AK116" i="7"/>
  <c r="AK118" i="7"/>
  <c r="AK119" i="7"/>
  <c r="AK117" i="7"/>
  <c r="AA120" i="7"/>
  <c r="AK120" i="7"/>
  <c r="AA118" i="7"/>
  <c r="AT118" i="7" s="1"/>
  <c r="AU118" i="7" s="1"/>
  <c r="AV118" i="7" s="1"/>
  <c r="AA119" i="7"/>
  <c r="AY116" i="7"/>
  <c r="AA116" i="7"/>
  <c r="AY117" i="7"/>
  <c r="AY119" i="7"/>
  <c r="AA123" i="7"/>
  <c r="AK115" i="7"/>
  <c r="CI196" i="7" l="1"/>
  <c r="CJ196" i="7" s="1"/>
  <c r="DB196" i="7"/>
  <c r="AZ226" i="7"/>
  <c r="BA226" i="7" s="1"/>
  <c r="CK262" i="7"/>
  <c r="DC262" i="7"/>
  <c r="CK263" i="7"/>
  <c r="DC263" i="7"/>
  <c r="CI145" i="7"/>
  <c r="CJ145" i="7" s="1"/>
  <c r="DB145" i="7"/>
  <c r="AZ247" i="7"/>
  <c r="BA247" i="7" s="1"/>
  <c r="BB247" i="7" s="1"/>
  <c r="F230" i="7"/>
  <c r="F151" i="7"/>
  <c r="S152" i="7"/>
  <c r="BK152" i="7" s="1"/>
  <c r="AN197" i="7"/>
  <c r="DB197" i="7" s="1"/>
  <c r="BK197" i="7"/>
  <c r="AM197" i="7"/>
  <c r="BK231" i="7"/>
  <c r="AM231" i="7"/>
  <c r="AN231" i="7"/>
  <c r="DB231" i="7" s="1"/>
  <c r="AN151" i="7"/>
  <c r="DB151" i="7" s="1"/>
  <c r="AM151" i="7"/>
  <c r="BK151" i="7"/>
  <c r="BP207" i="7"/>
  <c r="AO207" i="7"/>
  <c r="AP207" i="7"/>
  <c r="CJ207" i="7" s="1"/>
  <c r="BP161" i="7"/>
  <c r="AP161" i="7"/>
  <c r="AO161" i="7"/>
  <c r="BP240" i="7"/>
  <c r="AO240" i="7"/>
  <c r="AP240" i="7"/>
  <c r="CJ240" i="7" s="1"/>
  <c r="BS172" i="7"/>
  <c r="AW172" i="7"/>
  <c r="CH172" i="7" s="1"/>
  <c r="CI172" i="7" s="1"/>
  <c r="AN230" i="7"/>
  <c r="AY230" i="7" s="1"/>
  <c r="BK230" i="7"/>
  <c r="AM230" i="7"/>
  <c r="AZ220" i="7"/>
  <c r="BA220" i="7" s="1"/>
  <c r="BB220" i="7" s="1"/>
  <c r="AZ216" i="7"/>
  <c r="BA216" i="7" s="1"/>
  <c r="BB216" i="7" s="1"/>
  <c r="AZ222" i="7"/>
  <c r="BA222" i="7" s="1"/>
  <c r="BB222" i="7" s="1"/>
  <c r="AZ188" i="7"/>
  <c r="BA188" i="7" s="1"/>
  <c r="BB188" i="7" s="1"/>
  <c r="AY147" i="7"/>
  <c r="AY144" i="7"/>
  <c r="AY148" i="7"/>
  <c r="CJ157" i="7"/>
  <c r="AM138" i="7"/>
  <c r="AN138" i="7" s="1"/>
  <c r="DB138" i="7" s="1"/>
  <c r="AO138" i="7"/>
  <c r="AP138" i="7" s="1"/>
  <c r="AO139" i="7"/>
  <c r="AP139" i="7" s="1"/>
  <c r="CJ139" i="7" s="1"/>
  <c r="AO140" i="7"/>
  <c r="AP140" i="7" s="1"/>
  <c r="CJ140" i="7" s="1"/>
  <c r="AM264" i="7"/>
  <c r="AN264" i="7" s="1"/>
  <c r="DB264" i="7" s="1"/>
  <c r="AO264" i="7"/>
  <c r="AP264" i="7" s="1"/>
  <c r="AO142" i="7"/>
  <c r="AP142" i="7" s="1"/>
  <c r="CJ142" i="7" s="1"/>
  <c r="AO183" i="7"/>
  <c r="AP183" i="7" s="1"/>
  <c r="CJ183" i="7" s="1"/>
  <c r="AO143" i="7"/>
  <c r="AP143" i="7" s="1"/>
  <c r="CJ143" i="7" s="1"/>
  <c r="AM137" i="7"/>
  <c r="AN137" i="7" s="1"/>
  <c r="DB137" i="7" s="1"/>
  <c r="AO137" i="7"/>
  <c r="AP137" i="7" s="1"/>
  <c r="AO141" i="7"/>
  <c r="AP141" i="7" s="1"/>
  <c r="CJ141" i="7" s="1"/>
  <c r="CG185" i="7"/>
  <c r="CQ185" i="7" s="1"/>
  <c r="BW185" i="7"/>
  <c r="AX185" i="7"/>
  <c r="AZ185" i="7" s="1"/>
  <c r="BA185" i="7" s="1"/>
  <c r="BB185" i="7" s="1"/>
  <c r="F185" i="7"/>
  <c r="C185" i="7" s="1"/>
  <c r="CG230" i="7"/>
  <c r="CQ230" i="7" s="1"/>
  <c r="AX230" i="7"/>
  <c r="CG245" i="7"/>
  <c r="CQ245" i="7" s="1"/>
  <c r="AX245" i="7"/>
  <c r="BW225" i="7"/>
  <c r="AX225" i="7"/>
  <c r="AZ225" i="7" s="1"/>
  <c r="BA225" i="7" s="1"/>
  <c r="BB225" i="7" s="1"/>
  <c r="CG225" i="7"/>
  <c r="CQ225" i="7" s="1"/>
  <c r="CG236" i="7"/>
  <c r="CQ236" i="7" s="1"/>
  <c r="BY236" i="7"/>
  <c r="BW236" i="7"/>
  <c r="AX236" i="7"/>
  <c r="AZ236" i="7" s="1"/>
  <c r="BA236" i="7" s="1"/>
  <c r="BB236" i="7" s="1"/>
  <c r="BZ236" i="7"/>
  <c r="CG241" i="7"/>
  <c r="CQ241" i="7" s="1"/>
  <c r="AX241" i="7"/>
  <c r="BZ237" i="7"/>
  <c r="BW237" i="7"/>
  <c r="BY237" i="7"/>
  <c r="CG237" i="7"/>
  <c r="CQ237" i="7" s="1"/>
  <c r="AX237" i="7"/>
  <c r="AZ237" i="7" s="1"/>
  <c r="BA237" i="7" s="1"/>
  <c r="BB237" i="7" s="1"/>
  <c r="CG195" i="7"/>
  <c r="CQ195" i="7" s="1"/>
  <c r="AX195" i="7"/>
  <c r="AZ195" i="7" s="1"/>
  <c r="BW195" i="7"/>
  <c r="CG187" i="7"/>
  <c r="CQ187" i="7" s="1"/>
  <c r="BW187" i="7"/>
  <c r="AX187" i="7"/>
  <c r="AZ187" i="7" s="1"/>
  <c r="BA187" i="7" s="1"/>
  <c r="BB187" i="7" s="1"/>
  <c r="F187" i="7"/>
  <c r="C187" i="7" s="1"/>
  <c r="CG219" i="7"/>
  <c r="CQ219" i="7" s="1"/>
  <c r="AX219" i="7"/>
  <c r="AZ219" i="7" s="1"/>
  <c r="BA219" i="7" s="1"/>
  <c r="BB219" i="7" s="1"/>
  <c r="BW219" i="7"/>
  <c r="F219" i="7"/>
  <c r="C219" i="7" s="1"/>
  <c r="CG233" i="7"/>
  <c r="CQ233" i="7" s="1"/>
  <c r="AX233" i="7"/>
  <c r="BW217" i="7"/>
  <c r="CG217" i="7"/>
  <c r="CQ217" i="7" s="1"/>
  <c r="F217" i="7"/>
  <c r="C217" i="7" s="1"/>
  <c r="E50" i="23" s="1"/>
  <c r="AX217" i="7"/>
  <c r="AZ217" i="7" s="1"/>
  <c r="BA217" i="7" s="1"/>
  <c r="BB217" i="7" s="1"/>
  <c r="CG184" i="7"/>
  <c r="CQ184" i="7" s="1"/>
  <c r="BW184" i="7"/>
  <c r="F184" i="7"/>
  <c r="C184" i="7" s="1"/>
  <c r="AX184" i="7"/>
  <c r="AZ184" i="7" s="1"/>
  <c r="BA184" i="7" s="1"/>
  <c r="CG246" i="7"/>
  <c r="CQ246" i="7" s="1"/>
  <c r="BW246" i="7"/>
  <c r="AX246" i="7"/>
  <c r="AZ246" i="7" s="1"/>
  <c r="BA246" i="7" s="1"/>
  <c r="BB246" i="7" s="1"/>
  <c r="DC246" i="7" s="1"/>
  <c r="CG221" i="7"/>
  <c r="CQ221" i="7" s="1"/>
  <c r="BW221" i="7"/>
  <c r="F221" i="7"/>
  <c r="C221" i="7" s="1"/>
  <c r="AX221" i="7"/>
  <c r="AZ221" i="7" s="1"/>
  <c r="BA221" i="7" s="1"/>
  <c r="BB221" i="7" s="1"/>
  <c r="BW191" i="7"/>
  <c r="CG191" i="7"/>
  <c r="CQ191" i="7" s="1"/>
  <c r="AX191" i="7"/>
  <c r="AZ191" i="7" s="1"/>
  <c r="BA191" i="7" s="1"/>
  <c r="BB191" i="7" s="1"/>
  <c r="CG231" i="7"/>
  <c r="CQ231" i="7" s="1"/>
  <c r="AX231" i="7"/>
  <c r="CG234" i="7"/>
  <c r="CQ234" i="7" s="1"/>
  <c r="AX234" i="7"/>
  <c r="BW214" i="7"/>
  <c r="AX214" i="7"/>
  <c r="AZ214" i="7" s="1"/>
  <c r="BA214" i="7" s="1"/>
  <c r="BB214" i="7" s="1"/>
  <c r="CG214" i="7"/>
  <c r="CQ214" i="7" s="1"/>
  <c r="CG199" i="7"/>
  <c r="CQ199" i="7" s="1"/>
  <c r="AX199" i="7"/>
  <c r="CG210" i="7"/>
  <c r="CQ210" i="7" s="1"/>
  <c r="AX210" i="7"/>
  <c r="AX249" i="7"/>
  <c r="AZ249" i="7" s="1"/>
  <c r="BA249" i="7" s="1"/>
  <c r="BB249" i="7" s="1"/>
  <c r="CG249" i="7"/>
  <c r="CQ249" i="7" s="1"/>
  <c r="BW249" i="7"/>
  <c r="AX190" i="7"/>
  <c r="AZ190" i="7" s="1"/>
  <c r="CG190" i="7"/>
  <c r="CQ190" i="7" s="1"/>
  <c r="BW190" i="7"/>
  <c r="BW224" i="7"/>
  <c r="CG224" i="7"/>
  <c r="CQ224" i="7" s="1"/>
  <c r="AX224" i="7"/>
  <c r="AZ224" i="7" s="1"/>
  <c r="BA224" i="7" s="1"/>
  <c r="BB224" i="7" s="1"/>
  <c r="CG186" i="7"/>
  <c r="CQ186" i="7" s="1"/>
  <c r="F186" i="7"/>
  <c r="C186" i="7" s="1"/>
  <c r="AX186" i="7"/>
  <c r="AZ186" i="7" s="1"/>
  <c r="BA186" i="7" s="1"/>
  <c r="BB186" i="7" s="1"/>
  <c r="DC186" i="7" s="1"/>
  <c r="BW186" i="7"/>
  <c r="CG198" i="7"/>
  <c r="CQ198" i="7" s="1"/>
  <c r="AX198" i="7"/>
  <c r="CG215" i="7"/>
  <c r="CQ215" i="7" s="1"/>
  <c r="AX215" i="7"/>
  <c r="AZ215" i="7" s="1"/>
  <c r="BA215" i="7" s="1"/>
  <c r="BB215" i="7" s="1"/>
  <c r="DC215" i="7" s="1"/>
  <c r="BW215" i="7"/>
  <c r="CG197" i="7"/>
  <c r="CQ197" i="7" s="1"/>
  <c r="AX197" i="7"/>
  <c r="AG254" i="7"/>
  <c r="AG155" i="7"/>
  <c r="AG170" i="7"/>
  <c r="AG127" i="7"/>
  <c r="AG156" i="7"/>
  <c r="AG168" i="7"/>
  <c r="AG252" i="7"/>
  <c r="AG255" i="7"/>
  <c r="AG163" i="7"/>
  <c r="AG164" i="7"/>
  <c r="AG169" i="7"/>
  <c r="AG158" i="7"/>
  <c r="AG128" i="7"/>
  <c r="AG159" i="7"/>
  <c r="AG253" i="7"/>
  <c r="AG259" i="7"/>
  <c r="AG167" i="7"/>
  <c r="AG183" i="7"/>
  <c r="AE162" i="7"/>
  <c r="AD162" i="7"/>
  <c r="AF162" i="7" s="1"/>
  <c r="AC162" i="7"/>
  <c r="AC147" i="7"/>
  <c r="AE147" i="7"/>
  <c r="AD147" i="7"/>
  <c r="AF147" i="7" s="1"/>
  <c r="AE148" i="7"/>
  <c r="AC148" i="7"/>
  <c r="AD148" i="7"/>
  <c r="AF148" i="7" s="1"/>
  <c r="AG148" i="7" s="1"/>
  <c r="AE132" i="7"/>
  <c r="AD132" i="7"/>
  <c r="AF132" i="7" s="1"/>
  <c r="AG132" i="7" s="1"/>
  <c r="CG132" i="7" s="1"/>
  <c r="AC132" i="7"/>
  <c r="AE149" i="7"/>
  <c r="AD149" i="7"/>
  <c r="AC149" i="7"/>
  <c r="AD177" i="7"/>
  <c r="AF177" i="7" s="1"/>
  <c r="AC177" i="7"/>
  <c r="AE177" i="7"/>
  <c r="AD142" i="7"/>
  <c r="AF142" i="7" s="1"/>
  <c r="AC142" i="7"/>
  <c r="AE142" i="7"/>
  <c r="AC139" i="7"/>
  <c r="AE139" i="7"/>
  <c r="AF139" i="7" s="1"/>
  <c r="AD139" i="7"/>
  <c r="AE117" i="7"/>
  <c r="AD117" i="7"/>
  <c r="AF117" i="7" s="1"/>
  <c r="AC117" i="7"/>
  <c r="AD264" i="7"/>
  <c r="AC264" i="7"/>
  <c r="AF264" i="7" s="1"/>
  <c r="AE264" i="7"/>
  <c r="AE136" i="7"/>
  <c r="AC136" i="7"/>
  <c r="AD136" i="7"/>
  <c r="AF136" i="7" s="1"/>
  <c r="AE150" i="7"/>
  <c r="AD150" i="7"/>
  <c r="AF150" i="7" s="1"/>
  <c r="AC150" i="7"/>
  <c r="AE140" i="7"/>
  <c r="AF140" i="7" s="1"/>
  <c r="AD140" i="7"/>
  <c r="AC140" i="7"/>
  <c r="AE175" i="7"/>
  <c r="AD175" i="7"/>
  <c r="AF175" i="7" s="1"/>
  <c r="AC175" i="7"/>
  <c r="AE172" i="7"/>
  <c r="AC172" i="7"/>
  <c r="AD172" i="7"/>
  <c r="AF172" i="7" s="1"/>
  <c r="AD152" i="7"/>
  <c r="AF152" i="7" s="1"/>
  <c r="AC152" i="7"/>
  <c r="AE152" i="7"/>
  <c r="AC179" i="7"/>
  <c r="AE179" i="7"/>
  <c r="AD179" i="7"/>
  <c r="AF179" i="7" s="1"/>
  <c r="AD135" i="7"/>
  <c r="AF135" i="7" s="1"/>
  <c r="AC135" i="7"/>
  <c r="AE135" i="7"/>
  <c r="AE178" i="7"/>
  <c r="AD178" i="7"/>
  <c r="AF178" i="7" s="1"/>
  <c r="AC178" i="7"/>
  <c r="AE151" i="7"/>
  <c r="AD151" i="7"/>
  <c r="AF151" i="7" s="1"/>
  <c r="AC151" i="7"/>
  <c r="AE146" i="7"/>
  <c r="AD146" i="7"/>
  <c r="AF146" i="7" s="1"/>
  <c r="AC146" i="7"/>
  <c r="AE173" i="7"/>
  <c r="AD173" i="7"/>
  <c r="AF173" i="7" s="1"/>
  <c r="AC173" i="7"/>
  <c r="AE141" i="7"/>
  <c r="AD141" i="7"/>
  <c r="AF141" i="7" s="1"/>
  <c r="AC141" i="7"/>
  <c r="AD176" i="7"/>
  <c r="AF176" i="7" s="1"/>
  <c r="AC176" i="7"/>
  <c r="AE176" i="7"/>
  <c r="AD161" i="7"/>
  <c r="AF161" i="7" s="1"/>
  <c r="AC161" i="7"/>
  <c r="AE161" i="7"/>
  <c r="AE131" i="7"/>
  <c r="AD131" i="7"/>
  <c r="AF131" i="7" s="1"/>
  <c r="AC131" i="7"/>
  <c r="AE182" i="7"/>
  <c r="AD182" i="7"/>
  <c r="AF182" i="7" s="1"/>
  <c r="AC182" i="7"/>
  <c r="AE174" i="7"/>
  <c r="AD174" i="7"/>
  <c r="AF174" i="7" s="1"/>
  <c r="AC174" i="7"/>
  <c r="AE143" i="7"/>
  <c r="AD143" i="7"/>
  <c r="AF143" i="7" s="1"/>
  <c r="AC143" i="7"/>
  <c r="CJ171" i="7"/>
  <c r="CG239" i="7"/>
  <c r="CQ239" i="7" s="1"/>
  <c r="CG125" i="7"/>
  <c r="CQ125" i="7" s="1"/>
  <c r="CG201" i="7"/>
  <c r="CQ201" i="7" s="1"/>
  <c r="CG200" i="7"/>
  <c r="CQ200" i="7" s="1"/>
  <c r="CG244" i="7"/>
  <c r="CQ244" i="7" s="1"/>
  <c r="CG189" i="7"/>
  <c r="CQ189" i="7" s="1"/>
  <c r="CG208" i="7"/>
  <c r="CQ208" i="7" s="1"/>
  <c r="CG213" i="7"/>
  <c r="CQ213" i="7" s="1"/>
  <c r="CG232" i="7"/>
  <c r="CQ232" i="7" s="1"/>
  <c r="CG153" i="7"/>
  <c r="CQ153" i="7" s="1"/>
  <c r="CG243" i="7"/>
  <c r="CQ243" i="7" s="1"/>
  <c r="CI168" i="7"/>
  <c r="CJ168" i="7" s="1"/>
  <c r="CG194" i="7"/>
  <c r="CQ194" i="7" s="1"/>
  <c r="CG137" i="7"/>
  <c r="CQ137" i="7" s="1"/>
  <c r="AZ228" i="7"/>
  <c r="BA228" i="7" s="1"/>
  <c r="BB228" i="7" s="1"/>
  <c r="DC228" i="7" s="1"/>
  <c r="BW196" i="7"/>
  <c r="BZ191" i="7"/>
  <c r="CO191" i="7"/>
  <c r="CT191" i="7" s="1"/>
  <c r="AX235" i="7"/>
  <c r="AZ235" i="7" s="1"/>
  <c r="BA235" i="7" s="1"/>
  <c r="BB235" i="7" s="1"/>
  <c r="DC235" i="7" s="1"/>
  <c r="CQ235" i="7"/>
  <c r="AX145" i="7"/>
  <c r="CQ145" i="7"/>
  <c r="BZ203" i="7"/>
  <c r="CQ203" i="7"/>
  <c r="BZ247" i="7"/>
  <c r="CO247" i="7"/>
  <c r="CT247" i="7" s="1"/>
  <c r="BZ225" i="7"/>
  <c r="CO225" i="7"/>
  <c r="CT225" i="7" s="1"/>
  <c r="BZ214" i="7"/>
  <c r="CO214" i="7"/>
  <c r="CT214" i="7" s="1"/>
  <c r="BZ226" i="7"/>
  <c r="CO226" i="7"/>
  <c r="CT226" i="7" s="1"/>
  <c r="AX171" i="7"/>
  <c r="CQ171" i="7"/>
  <c r="BZ250" i="7"/>
  <c r="CQ250" i="7"/>
  <c r="AX242" i="7"/>
  <c r="CQ242" i="7"/>
  <c r="CQ223" i="7"/>
  <c r="CK181" i="7"/>
  <c r="BZ188" i="7"/>
  <c r="CO188" i="7"/>
  <c r="CT188" i="7" s="1"/>
  <c r="BZ219" i="7"/>
  <c r="CO219" i="7"/>
  <c r="CT219" i="7" s="1"/>
  <c r="BZ217" i="7"/>
  <c r="CO217" i="7"/>
  <c r="CT217" i="7" s="1"/>
  <c r="F218" i="7"/>
  <c r="C218" i="7" s="1"/>
  <c r="CQ218" i="7"/>
  <c r="AX193" i="7"/>
  <c r="AZ193" i="7" s="1"/>
  <c r="BA193" i="7" s="1"/>
  <c r="BB193" i="7" s="1"/>
  <c r="DC193" i="7" s="1"/>
  <c r="CQ193" i="7"/>
  <c r="AX138" i="7"/>
  <c r="CQ138" i="7"/>
  <c r="BZ246" i="7"/>
  <c r="CO246" i="7"/>
  <c r="CT246" i="7" s="1"/>
  <c r="BZ221" i="7"/>
  <c r="CO221" i="7"/>
  <c r="CT221" i="7" s="1"/>
  <c r="BZ204" i="7"/>
  <c r="CQ204" i="7"/>
  <c r="AX160" i="7"/>
  <c r="AZ160" i="7" s="1"/>
  <c r="BA160" i="7" s="1"/>
  <c r="BB160" i="7" s="1"/>
  <c r="DC160" i="7" s="1"/>
  <c r="CQ160" i="7"/>
  <c r="BZ187" i="7"/>
  <c r="CO187" i="7"/>
  <c r="CT187" i="7" s="1"/>
  <c r="BZ224" i="7"/>
  <c r="CO224" i="7"/>
  <c r="CT224" i="7" s="1"/>
  <c r="BZ185" i="7"/>
  <c r="CO185" i="7"/>
  <c r="CT185" i="7" s="1"/>
  <c r="BY181" i="7"/>
  <c r="CD181" i="7" s="1"/>
  <c r="CN181" i="7"/>
  <c r="CS181" i="7" s="1"/>
  <c r="CQ238" i="7"/>
  <c r="CK180" i="7"/>
  <c r="CK227" i="7"/>
  <c r="BZ186" i="7"/>
  <c r="CO186" i="7"/>
  <c r="CT186" i="7" s="1"/>
  <c r="BZ249" i="7"/>
  <c r="CO249" i="7"/>
  <c r="CT249" i="7" s="1"/>
  <c r="BZ220" i="7"/>
  <c r="CO220" i="7"/>
  <c r="CT220" i="7" s="1"/>
  <c r="BZ215" i="7"/>
  <c r="CO215" i="7"/>
  <c r="CT215" i="7" s="1"/>
  <c r="BZ222" i="7"/>
  <c r="CO222" i="7"/>
  <c r="CT222" i="7" s="1"/>
  <c r="BY180" i="7"/>
  <c r="CD180" i="7" s="1"/>
  <c r="CN180" i="7"/>
  <c r="CS180" i="7" s="1"/>
  <c r="AX192" i="7"/>
  <c r="AZ192" i="7" s="1"/>
  <c r="BA192" i="7" s="1"/>
  <c r="BB192" i="7" s="1"/>
  <c r="DC192" i="7" s="1"/>
  <c r="CQ192" i="7"/>
  <c r="BY205" i="7"/>
  <c r="CQ205" i="7"/>
  <c r="BZ216" i="7"/>
  <c r="CO216" i="7"/>
  <c r="CT216" i="7" s="1"/>
  <c r="AX202" i="7"/>
  <c r="AZ202" i="7" s="1"/>
  <c r="BA202" i="7" s="1"/>
  <c r="BB202" i="7" s="1"/>
  <c r="DC202" i="7" s="1"/>
  <c r="CQ202" i="7"/>
  <c r="CQ229" i="7"/>
  <c r="AX248" i="7"/>
  <c r="AZ248" i="7" s="1"/>
  <c r="BA248" i="7" s="1"/>
  <c r="BB248" i="7" s="1"/>
  <c r="DC248" i="7" s="1"/>
  <c r="CQ248" i="7"/>
  <c r="AX166" i="7"/>
  <c r="CQ166" i="7"/>
  <c r="C160" i="7"/>
  <c r="C150" i="7"/>
  <c r="C151" i="7"/>
  <c r="C239" i="7"/>
  <c r="C171" i="7"/>
  <c r="C230" i="7"/>
  <c r="C206" i="7"/>
  <c r="C196" i="7"/>
  <c r="C229" i="7"/>
  <c r="C188" i="7"/>
  <c r="C220" i="7"/>
  <c r="C222" i="7"/>
  <c r="CE263" i="7"/>
  <c r="CE262" i="7"/>
  <c r="CB180" i="7"/>
  <c r="CB181" i="7"/>
  <c r="CD262" i="7"/>
  <c r="CD263" i="7"/>
  <c r="CE181" i="7"/>
  <c r="CE180" i="7"/>
  <c r="BY239" i="7"/>
  <c r="BY160" i="7"/>
  <c r="AX218" i="7"/>
  <c r="AZ218" i="7" s="1"/>
  <c r="BA218" i="7" s="1"/>
  <c r="BB218" i="7" s="1"/>
  <c r="DC218" i="7" s="1"/>
  <c r="BW250" i="7"/>
  <c r="BW171" i="7"/>
  <c r="AX204" i="7"/>
  <c r="AZ204" i="7" s="1"/>
  <c r="BA204" i="7" s="1"/>
  <c r="BB204" i="7" s="1"/>
  <c r="BZ192" i="7"/>
  <c r="CB262" i="7"/>
  <c r="BZ235" i="7"/>
  <c r="BZ202" i="7"/>
  <c r="BY125" i="7"/>
  <c r="BZ125" i="7"/>
  <c r="BZ238" i="7"/>
  <c r="BZ205" i="7"/>
  <c r="CB227" i="7"/>
  <c r="BZ218" i="7"/>
  <c r="BZ248" i="7"/>
  <c r="AX243" i="7"/>
  <c r="BZ193" i="7"/>
  <c r="BW204" i="7"/>
  <c r="BW193" i="7"/>
  <c r="BW189" i="7"/>
  <c r="BW223" i="7"/>
  <c r="BW203" i="7"/>
  <c r="AX213" i="7"/>
  <c r="AZ213" i="7" s="1"/>
  <c r="BA213" i="7" s="1"/>
  <c r="BB213" i="7" s="1"/>
  <c r="DC213" i="7" s="1"/>
  <c r="AX232" i="7"/>
  <c r="AX244" i="7"/>
  <c r="BW194" i="7"/>
  <c r="AX208" i="7"/>
  <c r="BW192" i="7"/>
  <c r="AX137" i="7"/>
  <c r="BW235" i="7"/>
  <c r="BW202" i="7"/>
  <c r="BW125" i="7"/>
  <c r="AX238" i="7"/>
  <c r="AZ238" i="7" s="1"/>
  <c r="BA238" i="7" s="1"/>
  <c r="AX200" i="7"/>
  <c r="AX229" i="7"/>
  <c r="AZ229" i="7" s="1"/>
  <c r="BA229" i="7" s="1"/>
  <c r="BB229" i="7" s="1"/>
  <c r="DC229" i="7" s="1"/>
  <c r="AX205" i="7"/>
  <c r="AZ205" i="7" s="1"/>
  <c r="AX239" i="7"/>
  <c r="BW238" i="7"/>
  <c r="BW218" i="7"/>
  <c r="BY250" i="7"/>
  <c r="AX201" i="7"/>
  <c r="BW248" i="7"/>
  <c r="AX194" i="7"/>
  <c r="AZ194" i="7" s="1"/>
  <c r="BA194" i="7" s="1"/>
  <c r="BB194" i="7" s="1"/>
  <c r="DC194" i="7" s="1"/>
  <c r="AX203" i="7"/>
  <c r="AZ203" i="7" s="1"/>
  <c r="BA203" i="7" s="1"/>
  <c r="BB203" i="7" s="1"/>
  <c r="F189" i="7"/>
  <c r="BW205" i="7"/>
  <c r="BY238" i="7"/>
  <c r="AX223" i="7"/>
  <c r="AZ223" i="7" s="1"/>
  <c r="BA223" i="7" s="1"/>
  <c r="BB223" i="7" s="1"/>
  <c r="DC223" i="7" s="1"/>
  <c r="AX189" i="7"/>
  <c r="AZ189" i="7" s="1"/>
  <c r="BA189" i="7" s="1"/>
  <c r="BB189" i="7" s="1"/>
  <c r="DC189" i="7" s="1"/>
  <c r="BW229" i="7"/>
  <c r="BY203" i="7"/>
  <c r="BY204" i="7"/>
  <c r="BW213" i="7"/>
  <c r="AG260" i="7"/>
  <c r="CG260" i="7" s="1"/>
  <c r="AG261" i="7"/>
  <c r="CG261" i="7" s="1"/>
  <c r="AG256" i="7"/>
  <c r="CG256" i="7" s="1"/>
  <c r="AG257" i="7"/>
  <c r="CG257" i="7" s="1"/>
  <c r="AG126" i="7"/>
  <c r="CG126" i="7" s="1"/>
  <c r="AG144" i="7"/>
  <c r="AG129" i="7"/>
  <c r="CG129" i="7" s="1"/>
  <c r="AG165" i="7"/>
  <c r="AG251" i="7"/>
  <c r="CG251" i="7" s="1"/>
  <c r="AG258" i="7"/>
  <c r="CG258" i="7" s="1"/>
  <c r="AG130" i="7"/>
  <c r="CG130" i="7" s="1"/>
  <c r="AG157" i="7"/>
  <c r="AG134" i="7"/>
  <c r="CG134" i="7" s="1"/>
  <c r="BY206" i="7"/>
  <c r="BW206" i="7"/>
  <c r="BW160" i="7"/>
  <c r="BW239" i="7"/>
  <c r="CB263" i="7"/>
  <c r="BW145" i="7"/>
  <c r="BO224" i="7"/>
  <c r="BO191" i="7"/>
  <c r="BU119" i="7"/>
  <c r="BT119" i="7"/>
  <c r="BQ160" i="7"/>
  <c r="BR160" i="7"/>
  <c r="BT116" i="7"/>
  <c r="BU116" i="7"/>
  <c r="BT205" i="7"/>
  <c r="BU205" i="7"/>
  <c r="BT238" i="7"/>
  <c r="BU238" i="7"/>
  <c r="BR239" i="7"/>
  <c r="BQ239" i="7"/>
  <c r="BT120" i="7"/>
  <c r="BU120" i="7"/>
  <c r="BT160" i="7"/>
  <c r="BU160" i="7"/>
  <c r="BU118" i="7"/>
  <c r="BT118" i="7"/>
  <c r="BR206" i="7"/>
  <c r="BQ206" i="7"/>
  <c r="BT117" i="7"/>
  <c r="BU117" i="7"/>
  <c r="BO202" i="7"/>
  <c r="BO218" i="7"/>
  <c r="BO185" i="7"/>
  <c r="BO216" i="7"/>
  <c r="BO226" i="7"/>
  <c r="BO217" i="7"/>
  <c r="BO221" i="7"/>
  <c r="BO192" i="7"/>
  <c r="BO235" i="7"/>
  <c r="BO214" i="7"/>
  <c r="BO193" i="7"/>
  <c r="BO188" i="7"/>
  <c r="AY168" i="7"/>
  <c r="BO225" i="7"/>
  <c r="BO248" i="7"/>
  <c r="BO247" i="7"/>
  <c r="BQ147" i="7"/>
  <c r="BR147" i="7"/>
  <c r="CO147" i="7" s="1"/>
  <c r="CT147" i="7" s="1"/>
  <c r="BU146" i="7"/>
  <c r="BT146" i="7"/>
  <c r="BO187" i="7"/>
  <c r="BU147" i="7"/>
  <c r="BT147" i="7"/>
  <c r="BM148" i="7"/>
  <c r="BL148" i="7"/>
  <c r="BN148" i="7"/>
  <c r="BO219" i="7"/>
  <c r="BO215" i="7"/>
  <c r="BO246" i="7"/>
  <c r="BT227" i="7"/>
  <c r="BU227" i="7"/>
  <c r="BU148" i="7"/>
  <c r="BT148" i="7"/>
  <c r="BT228" i="7"/>
  <c r="BU228" i="7"/>
  <c r="BO249" i="7"/>
  <c r="BR227" i="7"/>
  <c r="BQ227" i="7"/>
  <c r="BN213" i="7"/>
  <c r="BM213" i="7"/>
  <c r="BL213" i="7"/>
  <c r="BR144" i="7"/>
  <c r="CO144" i="7" s="1"/>
  <c r="CT144" i="7" s="1"/>
  <c r="BQ144" i="7"/>
  <c r="BO222" i="7"/>
  <c r="BN228" i="7"/>
  <c r="BM228" i="7"/>
  <c r="BL228" i="7"/>
  <c r="BU157" i="7"/>
  <c r="BT157" i="7"/>
  <c r="BN227" i="7"/>
  <c r="BM227" i="7"/>
  <c r="BL227" i="7"/>
  <c r="BR213" i="7"/>
  <c r="BQ213" i="7"/>
  <c r="BM144" i="7"/>
  <c r="BL144" i="7"/>
  <c r="BN144" i="7"/>
  <c r="BN146" i="7"/>
  <c r="BO146" i="7" s="1"/>
  <c r="CN146" i="7" s="1"/>
  <c r="CS146" i="7" s="1"/>
  <c r="BM146" i="7"/>
  <c r="BL146" i="7"/>
  <c r="BR148" i="7"/>
  <c r="CO148" i="7" s="1"/>
  <c r="CT148" i="7" s="1"/>
  <c r="BQ148" i="7"/>
  <c r="BL189" i="7"/>
  <c r="BM189" i="7"/>
  <c r="BN189" i="7"/>
  <c r="BQ228" i="7"/>
  <c r="BR228" i="7"/>
  <c r="BO186" i="7"/>
  <c r="BN157" i="7"/>
  <c r="BM157" i="7"/>
  <c r="BL157" i="7"/>
  <c r="BL194" i="7"/>
  <c r="BN194" i="7"/>
  <c r="BM194" i="7"/>
  <c r="BO220" i="7"/>
  <c r="BU213" i="7"/>
  <c r="BT213" i="7"/>
  <c r="BU144" i="7"/>
  <c r="BT144" i="7"/>
  <c r="BL184" i="7"/>
  <c r="BM184" i="7"/>
  <c r="BN184" i="7"/>
  <c r="BR184" i="7"/>
  <c r="BQ184" i="7"/>
  <c r="BR157" i="7"/>
  <c r="CO157" i="7" s="1"/>
  <c r="BQ157" i="7"/>
  <c r="BU194" i="7"/>
  <c r="BT194" i="7"/>
  <c r="BR189" i="7"/>
  <c r="BQ189" i="7"/>
  <c r="BT184" i="7"/>
  <c r="BU184" i="7"/>
  <c r="BQ146" i="7"/>
  <c r="BR146" i="7"/>
  <c r="CO146" i="7" s="1"/>
  <c r="CT146" i="7" s="1"/>
  <c r="BN147" i="7"/>
  <c r="BM147" i="7"/>
  <c r="BL147" i="7"/>
  <c r="BR194" i="7"/>
  <c r="BQ194" i="7"/>
  <c r="BU189" i="7"/>
  <c r="BT189" i="7"/>
  <c r="CI197" i="7"/>
  <c r="CJ197" i="7" s="1"/>
  <c r="CJ161" i="7"/>
  <c r="CI231" i="7"/>
  <c r="CJ231" i="7" s="1"/>
  <c r="CH264" i="7"/>
  <c r="CH138" i="7"/>
  <c r="AB120" i="7"/>
  <c r="AT120" i="7"/>
  <c r="AU120" i="7" s="1"/>
  <c r="AV120" i="7" s="1"/>
  <c r="AQ115" i="7"/>
  <c r="AR115" i="7" s="1"/>
  <c r="AS115" i="7" s="1"/>
  <c r="AL115" i="7"/>
  <c r="AB119" i="7"/>
  <c r="AT119" i="7"/>
  <c r="AU119" i="7" s="1"/>
  <c r="AV119" i="7" s="1"/>
  <c r="AQ116" i="7"/>
  <c r="AR116" i="7" s="1"/>
  <c r="AS116" i="7" s="1"/>
  <c r="AL116" i="7"/>
  <c r="AQ120" i="7"/>
  <c r="AR120" i="7" s="1"/>
  <c r="AS120" i="7" s="1"/>
  <c r="AL120" i="7"/>
  <c r="AQ119" i="7"/>
  <c r="AR119" i="7" s="1"/>
  <c r="AS119" i="7" s="1"/>
  <c r="AL119" i="7"/>
  <c r="AB123" i="7"/>
  <c r="AT123" i="7"/>
  <c r="AU123" i="7" s="1"/>
  <c r="AV123" i="7" s="1"/>
  <c r="AB116" i="7"/>
  <c r="AT116" i="7"/>
  <c r="AU116" i="7" s="1"/>
  <c r="AV116" i="7" s="1"/>
  <c r="AQ118" i="7"/>
  <c r="AR118" i="7" s="1"/>
  <c r="AS118" i="7" s="1"/>
  <c r="AL118" i="7"/>
  <c r="AQ117" i="7"/>
  <c r="AR117" i="7" s="1"/>
  <c r="AS117" i="7" s="1"/>
  <c r="AL117" i="7"/>
  <c r="AB118" i="7"/>
  <c r="AX250" i="7"/>
  <c r="AZ250" i="7" s="1"/>
  <c r="BA250" i="7" s="1"/>
  <c r="F250" i="7"/>
  <c r="AY150" i="7"/>
  <c r="F231" i="7"/>
  <c r="S232" i="7"/>
  <c r="BB226" i="7"/>
  <c r="V241" i="7"/>
  <c r="F240" i="7"/>
  <c r="AY239" i="7"/>
  <c r="AY196" i="7"/>
  <c r="F207" i="7"/>
  <c r="V208" i="7"/>
  <c r="F197" i="7"/>
  <c r="S198" i="7"/>
  <c r="AY206" i="7"/>
  <c r="F161" i="7"/>
  <c r="F172" i="7"/>
  <c r="AY145" i="7"/>
  <c r="AY151" i="7"/>
  <c r="F152" i="7"/>
  <c r="S153" i="7"/>
  <c r="V162" i="7"/>
  <c r="T173" i="7"/>
  <c r="AY171" i="7"/>
  <c r="AX125" i="7"/>
  <c r="AZ125" i="7" s="1"/>
  <c r="BA125" i="7" s="1"/>
  <c r="AX153" i="7"/>
  <c r="AA121" i="7"/>
  <c r="AT121" i="7" s="1"/>
  <c r="AU121" i="7" s="1"/>
  <c r="AV121" i="7" s="1"/>
  <c r="AK121" i="7"/>
  <c r="AK123" i="7"/>
  <c r="AY122" i="7"/>
  <c r="AY115" i="7"/>
  <c r="AA122" i="7"/>
  <c r="AA115" i="7"/>
  <c r="AK122" i="7"/>
  <c r="AY123" i="7"/>
  <c r="AK124" i="7"/>
  <c r="AY121" i="7"/>
  <c r="AA124" i="7"/>
  <c r="AY124" i="7"/>
  <c r="AY114" i="7"/>
  <c r="AK114" i="7"/>
  <c r="AA114" i="7"/>
  <c r="BW230" i="7" l="1"/>
  <c r="CI151" i="7"/>
  <c r="CJ151" i="7" s="1"/>
  <c r="AN152" i="7"/>
  <c r="CI230" i="7"/>
  <c r="CJ230" i="7" s="1"/>
  <c r="DB230" i="7"/>
  <c r="CK214" i="7"/>
  <c r="DC214" i="7"/>
  <c r="CK224" i="7"/>
  <c r="DC224" i="7"/>
  <c r="CK249" i="7"/>
  <c r="DC249" i="7"/>
  <c r="CK225" i="7"/>
  <c r="DC225" i="7"/>
  <c r="CK247" i="7"/>
  <c r="DC247" i="7"/>
  <c r="CK221" i="7"/>
  <c r="DC221" i="7"/>
  <c r="CK217" i="7"/>
  <c r="DC217" i="7"/>
  <c r="CK219" i="7"/>
  <c r="DC219" i="7"/>
  <c r="CK188" i="7"/>
  <c r="DC188" i="7"/>
  <c r="CK226" i="7"/>
  <c r="DC226" i="7"/>
  <c r="CK237" i="7"/>
  <c r="DC237" i="7"/>
  <c r="CK236" i="7"/>
  <c r="DC236" i="7"/>
  <c r="CK222" i="7"/>
  <c r="DC222" i="7"/>
  <c r="CK185" i="7"/>
  <c r="DC185" i="7"/>
  <c r="CK191" i="7"/>
  <c r="DC191" i="7"/>
  <c r="CK216" i="7"/>
  <c r="DC216" i="7"/>
  <c r="CK203" i="7"/>
  <c r="DC203" i="7"/>
  <c r="CK204" i="7"/>
  <c r="DC204" i="7"/>
  <c r="CK187" i="7"/>
  <c r="DC187" i="7"/>
  <c r="CK220" i="7"/>
  <c r="DC220" i="7"/>
  <c r="CB247" i="7"/>
  <c r="CE247" i="7"/>
  <c r="CB216" i="7"/>
  <c r="CE216" i="7"/>
  <c r="AM152" i="7"/>
  <c r="CB188" i="7"/>
  <c r="CE188" i="7"/>
  <c r="AW173" i="7"/>
  <c r="BS173" i="7"/>
  <c r="BK232" i="7"/>
  <c r="AM232" i="7"/>
  <c r="AN232" i="7"/>
  <c r="DB232" i="7" s="1"/>
  <c r="AN198" i="7"/>
  <c r="DB198" i="7" s="1"/>
  <c r="BK198" i="7"/>
  <c r="AM198" i="7"/>
  <c r="BP162" i="7"/>
  <c r="AP162" i="7"/>
  <c r="CJ162" i="7" s="1"/>
  <c r="AO162" i="7"/>
  <c r="BK153" i="7"/>
  <c r="AM153" i="7"/>
  <c r="AN153" i="7"/>
  <c r="DB153" i="7" s="1"/>
  <c r="BP208" i="7"/>
  <c r="AO208" i="7"/>
  <c r="AP208" i="7"/>
  <c r="AP241" i="7"/>
  <c r="CJ241" i="7" s="1"/>
  <c r="BP241" i="7"/>
  <c r="AO241" i="7"/>
  <c r="CB215" i="7"/>
  <c r="CK215" i="7"/>
  <c r="AY142" i="7"/>
  <c r="CT157" i="7"/>
  <c r="AY143" i="7"/>
  <c r="CE187" i="7"/>
  <c r="CE215" i="7"/>
  <c r="CE185" i="7"/>
  <c r="AY140" i="7"/>
  <c r="AY139" i="7"/>
  <c r="AY141" i="7"/>
  <c r="CK246" i="7"/>
  <c r="CE246" i="7"/>
  <c r="CB187" i="7"/>
  <c r="CB185" i="7"/>
  <c r="CB246" i="7"/>
  <c r="CK186" i="7"/>
  <c r="CB249" i="7"/>
  <c r="CE249" i="7"/>
  <c r="AF149" i="7"/>
  <c r="AG149" i="7" s="1"/>
  <c r="CE186" i="7"/>
  <c r="CB186" i="7"/>
  <c r="CG155" i="7"/>
  <c r="CQ155" i="7" s="1"/>
  <c r="AX155" i="7"/>
  <c r="AX168" i="7"/>
  <c r="AZ168" i="7" s="1"/>
  <c r="BA168" i="7" s="1"/>
  <c r="BB168" i="7" s="1"/>
  <c r="CG127" i="7"/>
  <c r="CQ127" i="7" s="1"/>
  <c r="BW127" i="7"/>
  <c r="AX127" i="7"/>
  <c r="AZ127" i="7" s="1"/>
  <c r="BA127" i="7" s="1"/>
  <c r="BB127" i="7" s="1"/>
  <c r="CK127" i="7" s="1"/>
  <c r="BY127" i="7"/>
  <c r="BZ127" i="7"/>
  <c r="AX183" i="7"/>
  <c r="BW183" i="7"/>
  <c r="CG183" i="7"/>
  <c r="CQ183" i="7" s="1"/>
  <c r="BW168" i="7"/>
  <c r="CG168" i="7"/>
  <c r="CQ168" i="7" s="1"/>
  <c r="CG158" i="7"/>
  <c r="CQ158" i="7" s="1"/>
  <c r="AX158" i="7"/>
  <c r="BY158" i="7"/>
  <c r="BW158" i="7"/>
  <c r="BZ158" i="7"/>
  <c r="AX164" i="7"/>
  <c r="CG164" i="7"/>
  <c r="CQ164" i="7" s="1"/>
  <c r="CG259" i="7"/>
  <c r="CQ259" i="7" s="1"/>
  <c r="BY259" i="7"/>
  <c r="AX259" i="7"/>
  <c r="AZ259" i="7" s="1"/>
  <c r="BA259" i="7" s="1"/>
  <c r="BB259" i="7" s="1"/>
  <c r="BW259" i="7"/>
  <c r="BZ259" i="7"/>
  <c r="CG255" i="7"/>
  <c r="CQ255" i="7" s="1"/>
  <c r="BZ255" i="7"/>
  <c r="BW255" i="7"/>
  <c r="BY255" i="7"/>
  <c r="F255" i="7"/>
  <c r="C255" i="7" s="1"/>
  <c r="AX255" i="7"/>
  <c r="AZ255" i="7" s="1"/>
  <c r="BA255" i="7" s="1"/>
  <c r="BB255" i="7" s="1"/>
  <c r="BW159" i="7"/>
  <c r="BZ159" i="7"/>
  <c r="AX159" i="7"/>
  <c r="AZ159" i="7" s="1"/>
  <c r="BA159" i="7" s="1"/>
  <c r="BB159" i="7" s="1"/>
  <c r="CG159" i="7"/>
  <c r="CQ159" i="7" s="1"/>
  <c r="BY159" i="7"/>
  <c r="CG167" i="7"/>
  <c r="CQ167" i="7" s="1"/>
  <c r="AX167" i="7"/>
  <c r="BW169" i="7"/>
  <c r="CG169" i="7"/>
  <c r="CQ169" i="7" s="1"/>
  <c r="AX169" i="7"/>
  <c r="CG254" i="7"/>
  <c r="CQ254" i="7" s="1"/>
  <c r="BZ254" i="7"/>
  <c r="BY254" i="7"/>
  <c r="AX254" i="7"/>
  <c r="AZ254" i="7" s="1"/>
  <c r="BA254" i="7" s="1"/>
  <c r="BB254" i="7" s="1"/>
  <c r="BW254" i="7"/>
  <c r="F254" i="7"/>
  <c r="C254" i="7" s="1"/>
  <c r="AX156" i="7"/>
  <c r="CG156" i="7"/>
  <c r="CQ156" i="7" s="1"/>
  <c r="CG253" i="7"/>
  <c r="CQ253" i="7" s="1"/>
  <c r="BY253" i="7"/>
  <c r="BW253" i="7"/>
  <c r="BZ253" i="7"/>
  <c r="AX253" i="7"/>
  <c r="AZ253" i="7" s="1"/>
  <c r="BA253" i="7" s="1"/>
  <c r="BB253" i="7" s="1"/>
  <c r="F253" i="7"/>
  <c r="C253" i="7" s="1"/>
  <c r="CG170" i="7"/>
  <c r="CQ170" i="7" s="1"/>
  <c r="BW170" i="7"/>
  <c r="AX170" i="7"/>
  <c r="AZ170" i="7" s="1"/>
  <c r="BA170" i="7" s="1"/>
  <c r="BB170" i="7" s="1"/>
  <c r="CG163" i="7"/>
  <c r="CQ163" i="7" s="1"/>
  <c r="AX163" i="7"/>
  <c r="CG128" i="7"/>
  <c r="CQ128" i="7" s="1"/>
  <c r="BW128" i="7"/>
  <c r="BZ128" i="7"/>
  <c r="BY128" i="7"/>
  <c r="AX128" i="7"/>
  <c r="AZ128" i="7" s="1"/>
  <c r="BA128" i="7" s="1"/>
  <c r="BB128" i="7" s="1"/>
  <c r="CK128" i="7" s="1"/>
  <c r="CG252" i="7"/>
  <c r="CQ252" i="7" s="1"/>
  <c r="BZ252" i="7"/>
  <c r="BY252" i="7"/>
  <c r="AX252" i="7"/>
  <c r="AZ252" i="7" s="1"/>
  <c r="BA252" i="7" s="1"/>
  <c r="BB252" i="7" s="1"/>
  <c r="F252" i="7"/>
  <c r="C252" i="7" s="1"/>
  <c r="BW252" i="7"/>
  <c r="AG151" i="7"/>
  <c r="AG179" i="7"/>
  <c r="AG142" i="7"/>
  <c r="AG117" i="7"/>
  <c r="AG161" i="7"/>
  <c r="AG173" i="7"/>
  <c r="AG175" i="7"/>
  <c r="AG136" i="7"/>
  <c r="AG182" i="7"/>
  <c r="AG178" i="7"/>
  <c r="AG177" i="7"/>
  <c r="AG139" i="7"/>
  <c r="AG143" i="7"/>
  <c r="AG176" i="7"/>
  <c r="AG131" i="7"/>
  <c r="AG140" i="7"/>
  <c r="AD118" i="7"/>
  <c r="AF118" i="7" s="1"/>
  <c r="AC118" i="7"/>
  <c r="AE118" i="7"/>
  <c r="AE116" i="7"/>
  <c r="AD116" i="7"/>
  <c r="AF116" i="7" s="1"/>
  <c r="AC116" i="7"/>
  <c r="AD120" i="7"/>
  <c r="AF120" i="7" s="1"/>
  <c r="AC120" i="7"/>
  <c r="AE120" i="7"/>
  <c r="AC123" i="7"/>
  <c r="AE123" i="7"/>
  <c r="AD123" i="7"/>
  <c r="AF123" i="7" s="1"/>
  <c r="AE119" i="7"/>
  <c r="AD119" i="7"/>
  <c r="AF119" i="7" s="1"/>
  <c r="AC119" i="7"/>
  <c r="AY161" i="7"/>
  <c r="CJ172" i="7"/>
  <c r="CB228" i="7"/>
  <c r="CK228" i="7"/>
  <c r="CG165" i="7"/>
  <c r="CQ165" i="7" s="1"/>
  <c r="CG144" i="7"/>
  <c r="CQ144" i="7" s="1"/>
  <c r="CI264" i="7"/>
  <c r="CJ264" i="7" s="1"/>
  <c r="CG157" i="7"/>
  <c r="CQ157" i="7" s="1"/>
  <c r="CG148" i="7"/>
  <c r="CQ148" i="7" s="1"/>
  <c r="BW197" i="7"/>
  <c r="BW231" i="7"/>
  <c r="CE248" i="7"/>
  <c r="CE193" i="7"/>
  <c r="CE202" i="7"/>
  <c r="BY248" i="7"/>
  <c r="CD248" i="7" s="1"/>
  <c r="CN248" i="7"/>
  <c r="CS248" i="7" s="1"/>
  <c r="BZ256" i="7"/>
  <c r="CQ256" i="7"/>
  <c r="CK213" i="7"/>
  <c r="BY225" i="7"/>
  <c r="CD225" i="7" s="1"/>
  <c r="CN225" i="7"/>
  <c r="CS225" i="7" s="1"/>
  <c r="BY221" i="7"/>
  <c r="CD221" i="7" s="1"/>
  <c r="CN221" i="7"/>
  <c r="CS221" i="7" s="1"/>
  <c r="BZ160" i="7"/>
  <c r="CE160" i="7" s="1"/>
  <c r="CO160" i="7"/>
  <c r="CT160" i="7" s="1"/>
  <c r="BZ261" i="7"/>
  <c r="CQ261" i="7"/>
  <c r="CK202" i="7"/>
  <c r="BZ213" i="7"/>
  <c r="CE213" i="7" s="1"/>
  <c r="CO213" i="7"/>
  <c r="CT213" i="7" s="1"/>
  <c r="BZ227" i="7"/>
  <c r="CE227" i="7" s="1"/>
  <c r="CO227" i="7"/>
  <c r="CT227" i="7" s="1"/>
  <c r="BY246" i="7"/>
  <c r="CD246" i="7" s="1"/>
  <c r="CN246" i="7"/>
  <c r="CS246" i="7" s="1"/>
  <c r="BY187" i="7"/>
  <c r="CD187" i="7" s="1"/>
  <c r="CN187" i="7"/>
  <c r="CS187" i="7" s="1"/>
  <c r="BY217" i="7"/>
  <c r="CD217" i="7" s="1"/>
  <c r="CN217" i="7"/>
  <c r="CS217" i="7" s="1"/>
  <c r="BZ239" i="7"/>
  <c r="CO239" i="7"/>
  <c r="CT239" i="7" s="1"/>
  <c r="BZ260" i="7"/>
  <c r="CQ260" i="7"/>
  <c r="BZ132" i="7"/>
  <c r="CQ132" i="7"/>
  <c r="CK160" i="7"/>
  <c r="BY186" i="7"/>
  <c r="CD186" i="7" s="1"/>
  <c r="CN186" i="7"/>
  <c r="CS186" i="7" s="1"/>
  <c r="BY222" i="7"/>
  <c r="CD222" i="7" s="1"/>
  <c r="CN222" i="7"/>
  <c r="CS222" i="7" s="1"/>
  <c r="BY249" i="7"/>
  <c r="CD249" i="7" s="1"/>
  <c r="CN249" i="7"/>
  <c r="CS249" i="7" s="1"/>
  <c r="BY215" i="7"/>
  <c r="CD215" i="7" s="1"/>
  <c r="CN215" i="7"/>
  <c r="CS215" i="7" s="1"/>
  <c r="BY188" i="7"/>
  <c r="CD188" i="7" s="1"/>
  <c r="CN188" i="7"/>
  <c r="CS188" i="7" s="1"/>
  <c r="BY226" i="7"/>
  <c r="CD226" i="7" s="1"/>
  <c r="CN226" i="7"/>
  <c r="CS226" i="7" s="1"/>
  <c r="BY191" i="7"/>
  <c r="CD191" i="7" s="1"/>
  <c r="CN191" i="7"/>
  <c r="CS191" i="7" s="1"/>
  <c r="BZ129" i="7"/>
  <c r="CQ129" i="7"/>
  <c r="BZ184" i="7"/>
  <c r="CO184" i="7"/>
  <c r="CT184" i="7" s="1"/>
  <c r="BY220" i="7"/>
  <c r="CD220" i="7" s="1"/>
  <c r="CN220" i="7"/>
  <c r="CS220" i="7" s="1"/>
  <c r="BZ228" i="7"/>
  <c r="CE228" i="7" s="1"/>
  <c r="CO228" i="7"/>
  <c r="CT228" i="7" s="1"/>
  <c r="BY219" i="7"/>
  <c r="CD219" i="7" s="1"/>
  <c r="CN219" i="7"/>
  <c r="CS219" i="7" s="1"/>
  <c r="BY193" i="7"/>
  <c r="CD193" i="7" s="1"/>
  <c r="CN193" i="7"/>
  <c r="CS193" i="7" s="1"/>
  <c r="BY216" i="7"/>
  <c r="CD216" i="7" s="1"/>
  <c r="CN216" i="7"/>
  <c r="CS216" i="7" s="1"/>
  <c r="BY224" i="7"/>
  <c r="CD224" i="7" s="1"/>
  <c r="CN224" i="7"/>
  <c r="CS224" i="7" s="1"/>
  <c r="CK229" i="7"/>
  <c r="BZ194" i="7"/>
  <c r="CE194" i="7" s="1"/>
  <c r="CO194" i="7"/>
  <c r="CT194" i="7" s="1"/>
  <c r="BY214" i="7"/>
  <c r="CD214" i="7" s="1"/>
  <c r="CN214" i="7"/>
  <c r="CS214" i="7" s="1"/>
  <c r="BY185" i="7"/>
  <c r="CD185" i="7" s="1"/>
  <c r="CN185" i="7"/>
  <c r="CS185" i="7" s="1"/>
  <c r="BZ134" i="7"/>
  <c r="CQ134" i="7"/>
  <c r="CK189" i="7"/>
  <c r="CK248" i="7"/>
  <c r="CK235" i="7"/>
  <c r="BZ189" i="7"/>
  <c r="CE189" i="7" s="1"/>
  <c r="CO189" i="7"/>
  <c r="CT189" i="7" s="1"/>
  <c r="BY235" i="7"/>
  <c r="CD235" i="7" s="1"/>
  <c r="CN235" i="7"/>
  <c r="CS235" i="7" s="1"/>
  <c r="BY218" i="7"/>
  <c r="CD218" i="7" s="1"/>
  <c r="CN218" i="7"/>
  <c r="CS218" i="7" s="1"/>
  <c r="BZ206" i="7"/>
  <c r="CO206" i="7"/>
  <c r="CT206" i="7" s="1"/>
  <c r="BZ258" i="7"/>
  <c r="CQ258" i="7"/>
  <c r="BZ126" i="7"/>
  <c r="CQ126" i="7"/>
  <c r="CK193" i="7"/>
  <c r="CK192" i="7"/>
  <c r="BY247" i="7"/>
  <c r="CD247" i="7" s="1"/>
  <c r="CN247" i="7"/>
  <c r="CS247" i="7" s="1"/>
  <c r="BY192" i="7"/>
  <c r="CD192" i="7" s="1"/>
  <c r="CN192" i="7"/>
  <c r="CS192" i="7" s="1"/>
  <c r="BY202" i="7"/>
  <c r="CD202" i="7" s="1"/>
  <c r="CN202" i="7"/>
  <c r="CS202" i="7" s="1"/>
  <c r="BZ130" i="7"/>
  <c r="CQ130" i="7"/>
  <c r="BZ251" i="7"/>
  <c r="CQ251" i="7"/>
  <c r="BZ257" i="7"/>
  <c r="CQ257" i="7"/>
  <c r="CK223" i="7"/>
  <c r="CK194" i="7"/>
  <c r="CK218" i="7"/>
  <c r="C152" i="7"/>
  <c r="C161" i="7"/>
  <c r="C240" i="7"/>
  <c r="C172" i="7"/>
  <c r="C207" i="7"/>
  <c r="C197" i="7"/>
  <c r="C231" i="7"/>
  <c r="C189" i="7"/>
  <c r="C250" i="7"/>
  <c r="CB221" i="7"/>
  <c r="CE237" i="7"/>
  <c r="CB225" i="7"/>
  <c r="CB222" i="7"/>
  <c r="CB224" i="7"/>
  <c r="CB219" i="7"/>
  <c r="CE236" i="7"/>
  <c r="CB220" i="7"/>
  <c r="CB226" i="7"/>
  <c r="CB217" i="7"/>
  <c r="CB191" i="7"/>
  <c r="CB214" i="7"/>
  <c r="CE204" i="7"/>
  <c r="CE203" i="7"/>
  <c r="CB235" i="7"/>
  <c r="CB194" i="7"/>
  <c r="AX251" i="7"/>
  <c r="AZ251" i="7" s="1"/>
  <c r="BA251" i="7" s="1"/>
  <c r="BB251" i="7" s="1"/>
  <c r="F251" i="7"/>
  <c r="AX260" i="7"/>
  <c r="CD203" i="7"/>
  <c r="CD237" i="7"/>
  <c r="CD160" i="7"/>
  <c r="CD236" i="7"/>
  <c r="CD204" i="7"/>
  <c r="CE218" i="7"/>
  <c r="CE219" i="7"/>
  <c r="CE191" i="7"/>
  <c r="CE235" i="7"/>
  <c r="CE226" i="7"/>
  <c r="CE192" i="7"/>
  <c r="CE214" i="7"/>
  <c r="CE221" i="7"/>
  <c r="CE225" i="7"/>
  <c r="CE222" i="7"/>
  <c r="CE224" i="7"/>
  <c r="CE217" i="7"/>
  <c r="CE220" i="7"/>
  <c r="CB202" i="7"/>
  <c r="CB248" i="7"/>
  <c r="CB193" i="7"/>
  <c r="AX130" i="7"/>
  <c r="AZ130" i="7" s="1"/>
  <c r="BA130" i="7" s="1"/>
  <c r="BB130" i="7" s="1"/>
  <c r="CK130" i="7" s="1"/>
  <c r="AX258" i="7"/>
  <c r="AZ258" i="7" s="1"/>
  <c r="BA258" i="7" s="1"/>
  <c r="BB258" i="7" s="1"/>
  <c r="CB189" i="7"/>
  <c r="CB204" i="7"/>
  <c r="AX129" i="7"/>
  <c r="AZ129" i="7" s="1"/>
  <c r="BA129" i="7" s="1"/>
  <c r="BB129" i="7" s="1"/>
  <c r="CB223" i="7"/>
  <c r="AX126" i="7"/>
  <c r="AZ126" i="7" s="1"/>
  <c r="BA126" i="7" s="1"/>
  <c r="BB126" i="7" s="1"/>
  <c r="CK126" i="7" s="1"/>
  <c r="BY130" i="7"/>
  <c r="CB229" i="7"/>
  <c r="BW261" i="7"/>
  <c r="BY134" i="7"/>
  <c r="BW129" i="7"/>
  <c r="BZ157" i="7"/>
  <c r="AX144" i="7"/>
  <c r="AZ144" i="7" s="1"/>
  <c r="BA144" i="7" s="1"/>
  <c r="BB144" i="7" s="1"/>
  <c r="BZ144" i="7"/>
  <c r="BW134" i="7"/>
  <c r="AX134" i="7"/>
  <c r="AZ134" i="7" s="1"/>
  <c r="BA134" i="7" s="1"/>
  <c r="BB134" i="7" s="1"/>
  <c r="CK134" i="7" s="1"/>
  <c r="BW132" i="7"/>
  <c r="BY129" i="7"/>
  <c r="BZ148" i="7"/>
  <c r="BW157" i="7"/>
  <c r="CB218" i="7"/>
  <c r="AX157" i="7"/>
  <c r="AZ157" i="7" s="1"/>
  <c r="BA157" i="7" s="1"/>
  <c r="BB157" i="7" s="1"/>
  <c r="DC157" i="7" s="1"/>
  <c r="BW148" i="7"/>
  <c r="AX257" i="7"/>
  <c r="AZ257" i="7" s="1"/>
  <c r="BA257" i="7" s="1"/>
  <c r="BB257" i="7" s="1"/>
  <c r="CB213" i="7"/>
  <c r="BW130" i="7"/>
  <c r="BW258" i="7"/>
  <c r="BY261" i="7"/>
  <c r="CB203" i="7"/>
  <c r="BY260" i="7"/>
  <c r="CB192" i="7"/>
  <c r="BW256" i="7"/>
  <c r="BW251" i="7"/>
  <c r="F144" i="7"/>
  <c r="BY256" i="7"/>
  <c r="AX256" i="7"/>
  <c r="AZ256" i="7" s="1"/>
  <c r="BA256" i="7" s="1"/>
  <c r="BB256" i="7" s="1"/>
  <c r="DC256" i="7" s="1"/>
  <c r="AX165" i="7"/>
  <c r="BW126" i="7"/>
  <c r="BY132" i="7"/>
  <c r="BW260" i="7"/>
  <c r="BW144" i="7"/>
  <c r="BY251" i="7"/>
  <c r="AX261" i="7"/>
  <c r="AG146" i="7"/>
  <c r="CG146" i="7" s="1"/>
  <c r="BY258" i="7"/>
  <c r="AG150" i="7"/>
  <c r="CG150" i="7" s="1"/>
  <c r="BY126" i="7"/>
  <c r="AG152" i="7"/>
  <c r="CG152" i="7" s="1"/>
  <c r="AG174" i="7"/>
  <c r="BY257" i="7"/>
  <c r="AG264" i="7"/>
  <c r="CG264" i="7" s="1"/>
  <c r="AG147" i="7"/>
  <c r="CG147" i="7" s="1"/>
  <c r="AG162" i="7"/>
  <c r="AG141" i="7"/>
  <c r="CG141" i="7" s="1"/>
  <c r="AG135" i="7"/>
  <c r="CG135" i="7" s="1"/>
  <c r="BW257" i="7"/>
  <c r="AG172" i="7"/>
  <c r="BY240" i="7"/>
  <c r="BW240" i="7"/>
  <c r="BW207" i="7"/>
  <c r="BY207" i="7"/>
  <c r="CB160" i="7"/>
  <c r="CB236" i="7"/>
  <c r="CB237" i="7"/>
  <c r="AG154" i="7"/>
  <c r="AG133" i="7"/>
  <c r="CG133" i="7" s="1"/>
  <c r="CI138" i="7"/>
  <c r="CI137" i="7"/>
  <c r="BQ240" i="7"/>
  <c r="BR240" i="7"/>
  <c r="BT161" i="7"/>
  <c r="BU161" i="7"/>
  <c r="BR207" i="7"/>
  <c r="BQ207" i="7"/>
  <c r="BT206" i="7"/>
  <c r="BU206" i="7"/>
  <c r="BQ161" i="7"/>
  <c r="BR161" i="7"/>
  <c r="BT121" i="7"/>
  <c r="BU121" i="7"/>
  <c r="BT123" i="7"/>
  <c r="BU123" i="7"/>
  <c r="BU239" i="7"/>
  <c r="BT239" i="7"/>
  <c r="BU114" i="7"/>
  <c r="BT114" i="7"/>
  <c r="BU124" i="7"/>
  <c r="BT124" i="7"/>
  <c r="BU115" i="7"/>
  <c r="BT115" i="7"/>
  <c r="BU122" i="7"/>
  <c r="BT122" i="7"/>
  <c r="BU168" i="7"/>
  <c r="BL168" i="7"/>
  <c r="BO148" i="7"/>
  <c r="BO184" i="7"/>
  <c r="BO213" i="7"/>
  <c r="BN195" i="7"/>
  <c r="BL195" i="7"/>
  <c r="BM195" i="7"/>
  <c r="BO227" i="7"/>
  <c r="BR195" i="7"/>
  <c r="BQ195" i="7"/>
  <c r="BM149" i="7"/>
  <c r="BN149" i="7"/>
  <c r="BL149" i="7"/>
  <c r="BU190" i="7"/>
  <c r="BT190" i="7"/>
  <c r="BQ143" i="7"/>
  <c r="BR143" i="7"/>
  <c r="BO189" i="7"/>
  <c r="BO144" i="7"/>
  <c r="BR223" i="7"/>
  <c r="BQ223" i="7"/>
  <c r="BR140" i="7"/>
  <c r="BQ140" i="7"/>
  <c r="BU149" i="7"/>
  <c r="BT149" i="7"/>
  <c r="BR149" i="7"/>
  <c r="BQ149" i="7"/>
  <c r="BL190" i="7"/>
  <c r="BN190" i="7"/>
  <c r="BM190" i="7"/>
  <c r="BU143" i="7"/>
  <c r="BT143" i="7"/>
  <c r="BT223" i="7"/>
  <c r="BU223" i="7"/>
  <c r="BM140" i="7"/>
  <c r="BL140" i="7"/>
  <c r="BN140" i="7"/>
  <c r="BO194" i="7"/>
  <c r="BL170" i="7"/>
  <c r="BM170" i="7"/>
  <c r="BN170" i="7"/>
  <c r="BQ190" i="7"/>
  <c r="BR190" i="7"/>
  <c r="BR141" i="7"/>
  <c r="CO141" i="7" s="1"/>
  <c r="CT141" i="7" s="1"/>
  <c r="BQ141" i="7"/>
  <c r="BN223" i="7"/>
  <c r="BM223" i="7"/>
  <c r="BL223" i="7"/>
  <c r="BQ142" i="7"/>
  <c r="BR142" i="7"/>
  <c r="BU140" i="7"/>
  <c r="BT140" i="7"/>
  <c r="BN143" i="7"/>
  <c r="BM143" i="7"/>
  <c r="BL143" i="7"/>
  <c r="BO147" i="7"/>
  <c r="CN147" i="7" s="1"/>
  <c r="CS147" i="7" s="1"/>
  <c r="BO157" i="7"/>
  <c r="BM141" i="7"/>
  <c r="BL141" i="7"/>
  <c r="BN141" i="7"/>
  <c r="BN142" i="7"/>
  <c r="BM142" i="7"/>
  <c r="BL142" i="7"/>
  <c r="BN139" i="7"/>
  <c r="BM139" i="7"/>
  <c r="BL139" i="7"/>
  <c r="BT229" i="7"/>
  <c r="BU229" i="7"/>
  <c r="BT170" i="7"/>
  <c r="BU170" i="7"/>
  <c r="BM168" i="7"/>
  <c r="BU141" i="7"/>
  <c r="BT141" i="7"/>
  <c r="BO228" i="7"/>
  <c r="BU142" i="7"/>
  <c r="BT142" i="7"/>
  <c r="BQ139" i="7"/>
  <c r="BR139" i="7"/>
  <c r="BN229" i="7"/>
  <c r="BM229" i="7"/>
  <c r="BL229" i="7"/>
  <c r="BR168" i="7"/>
  <c r="BQ168" i="7"/>
  <c r="BR170" i="7"/>
  <c r="BQ170" i="7"/>
  <c r="BU195" i="7"/>
  <c r="BT195" i="7"/>
  <c r="BU139" i="7"/>
  <c r="BT139" i="7"/>
  <c r="BR229" i="7"/>
  <c r="BQ229" i="7"/>
  <c r="CH173" i="7"/>
  <c r="CJ208" i="7"/>
  <c r="AB114" i="7"/>
  <c r="AT114" i="7"/>
  <c r="AU114" i="7" s="1"/>
  <c r="AV114" i="7" s="1"/>
  <c r="AQ122" i="7"/>
  <c r="AR122" i="7" s="1"/>
  <c r="AS122" i="7" s="1"/>
  <c r="AL122" i="7"/>
  <c r="AQ114" i="7"/>
  <c r="AR114" i="7" s="1"/>
  <c r="AS114" i="7" s="1"/>
  <c r="AL114" i="7"/>
  <c r="AB115" i="7"/>
  <c r="AT115" i="7"/>
  <c r="AU115" i="7" s="1"/>
  <c r="AV115" i="7" s="1"/>
  <c r="AB122" i="7"/>
  <c r="AT122" i="7"/>
  <c r="AU122" i="7" s="1"/>
  <c r="AV122" i="7" s="1"/>
  <c r="AB124" i="7"/>
  <c r="AT124" i="7"/>
  <c r="AU124" i="7" s="1"/>
  <c r="AV124" i="7" s="1"/>
  <c r="AQ123" i="7"/>
  <c r="AR123" i="7" s="1"/>
  <c r="AS123" i="7" s="1"/>
  <c r="AL123" i="7"/>
  <c r="AQ121" i="7"/>
  <c r="AR121" i="7" s="1"/>
  <c r="AS121" i="7" s="1"/>
  <c r="AL121" i="7"/>
  <c r="AQ124" i="7"/>
  <c r="AR124" i="7" s="1"/>
  <c r="AS124" i="7" s="1"/>
  <c r="AL124" i="7"/>
  <c r="AB121" i="7"/>
  <c r="AZ239" i="7"/>
  <c r="AY240" i="7"/>
  <c r="V242" i="7"/>
  <c r="F241" i="7"/>
  <c r="AY231" i="7"/>
  <c r="F232" i="7"/>
  <c r="S233" i="7"/>
  <c r="AZ230" i="7"/>
  <c r="BB238" i="7"/>
  <c r="BA195" i="7"/>
  <c r="AZ206" i="7"/>
  <c r="BB184" i="7"/>
  <c r="BA205" i="7"/>
  <c r="AY207" i="7"/>
  <c r="AZ196" i="7"/>
  <c r="AY197" i="7"/>
  <c r="BA190" i="7"/>
  <c r="S199" i="7"/>
  <c r="F198" i="7"/>
  <c r="V209" i="7"/>
  <c r="F208" i="7"/>
  <c r="F162" i="7"/>
  <c r="AZ145" i="7"/>
  <c r="BB250" i="7"/>
  <c r="F173" i="7"/>
  <c r="F153" i="7"/>
  <c r="S154" i="7"/>
  <c r="AY152" i="7"/>
  <c r="T174" i="7"/>
  <c r="AY172" i="7"/>
  <c r="V163" i="7"/>
  <c r="AZ171" i="7"/>
  <c r="AX148" i="7"/>
  <c r="AZ148" i="7" s="1"/>
  <c r="BA148" i="7" s="1"/>
  <c r="AX132" i="7"/>
  <c r="AZ132" i="7" s="1"/>
  <c r="BA132" i="7" s="1"/>
  <c r="C146" i="7"/>
  <c r="BB125" i="7"/>
  <c r="CK125" i="7" s="1"/>
  <c r="AH88" i="7"/>
  <c r="CI232" i="7" l="1"/>
  <c r="CJ232" i="7" s="1"/>
  <c r="DB152" i="7"/>
  <c r="CI152" i="7"/>
  <c r="CJ152" i="7" s="1"/>
  <c r="CI153" i="7"/>
  <c r="CJ153" i="7" s="1"/>
  <c r="CI198" i="7"/>
  <c r="CJ198" i="7" s="1"/>
  <c r="CK168" i="7"/>
  <c r="DC168" i="7"/>
  <c r="CK144" i="7"/>
  <c r="DC144" i="7"/>
  <c r="CK159" i="7"/>
  <c r="DC159" i="7"/>
  <c r="CK184" i="7"/>
  <c r="DC184" i="7"/>
  <c r="CK170" i="7"/>
  <c r="DC170" i="7"/>
  <c r="CK255" i="7"/>
  <c r="DC255" i="7"/>
  <c r="CK259" i="7"/>
  <c r="DC259" i="7"/>
  <c r="CK253" i="7"/>
  <c r="DC253" i="7"/>
  <c r="CK258" i="7"/>
  <c r="DC258" i="7"/>
  <c r="CK252" i="7"/>
  <c r="DC252" i="7"/>
  <c r="CK254" i="7"/>
  <c r="DC254" i="7"/>
  <c r="CK238" i="7"/>
  <c r="DC238" i="7"/>
  <c r="CK250" i="7"/>
  <c r="DC250" i="7"/>
  <c r="CK257" i="7"/>
  <c r="DC257" i="7"/>
  <c r="CK251" i="7"/>
  <c r="DC251" i="7"/>
  <c r="AM233" i="7"/>
  <c r="AN233" i="7"/>
  <c r="DB233" i="7" s="1"/>
  <c r="BK233" i="7"/>
  <c r="AN199" i="7"/>
  <c r="DB199" i="7" s="1"/>
  <c r="AM199" i="7"/>
  <c r="BK199" i="7"/>
  <c r="AP242" i="7"/>
  <c r="CJ242" i="7" s="1"/>
  <c r="BP242" i="7"/>
  <c r="AO242" i="7"/>
  <c r="AO163" i="7"/>
  <c r="BP163" i="7"/>
  <c r="AP163" i="7"/>
  <c r="CJ163" i="7" s="1"/>
  <c r="AW174" i="7"/>
  <c r="BS174" i="7"/>
  <c r="BK154" i="7"/>
  <c r="AM154" i="7"/>
  <c r="AN154" i="7"/>
  <c r="DB154" i="7" s="1"/>
  <c r="AO209" i="7"/>
  <c r="AP209" i="7"/>
  <c r="CJ209" i="7" s="1"/>
  <c r="BP209" i="7"/>
  <c r="BW149" i="7"/>
  <c r="AX149" i="7"/>
  <c r="AZ149" i="7" s="1"/>
  <c r="BA149" i="7" s="1"/>
  <c r="BB149" i="7" s="1"/>
  <c r="CG149" i="7"/>
  <c r="CQ149" i="7" s="1"/>
  <c r="CB259" i="7"/>
  <c r="CE259" i="7"/>
  <c r="CD259" i="7"/>
  <c r="CG176" i="7"/>
  <c r="CQ176" i="7" s="1"/>
  <c r="AX176" i="7"/>
  <c r="CG173" i="7"/>
  <c r="CQ173" i="7" s="1"/>
  <c r="AX173" i="7"/>
  <c r="CG178" i="7"/>
  <c r="CQ178" i="7" s="1"/>
  <c r="AX178" i="7"/>
  <c r="CG179" i="7"/>
  <c r="CQ179" i="7" s="1"/>
  <c r="AX179" i="7"/>
  <c r="BW151" i="7"/>
  <c r="CG151" i="7"/>
  <c r="CQ151" i="7" s="1"/>
  <c r="AX151" i="7"/>
  <c r="AZ151" i="7" s="1"/>
  <c r="BA151" i="7" s="1"/>
  <c r="BB151" i="7" s="1"/>
  <c r="CG143" i="7"/>
  <c r="CQ143" i="7" s="1"/>
  <c r="BW143" i="7"/>
  <c r="F143" i="7"/>
  <c r="C143" i="7" s="1"/>
  <c r="AX143" i="7"/>
  <c r="AZ143" i="7" s="1"/>
  <c r="BA143" i="7" s="1"/>
  <c r="CG175" i="7"/>
  <c r="CQ175" i="7" s="1"/>
  <c r="AX175" i="7"/>
  <c r="CG139" i="7"/>
  <c r="CQ139" i="7" s="1"/>
  <c r="F139" i="7"/>
  <c r="C139" i="7" s="1"/>
  <c r="BW139" i="7"/>
  <c r="AX139" i="7"/>
  <c r="AZ139" i="7" s="1"/>
  <c r="BA139" i="7" s="1"/>
  <c r="BB139" i="7" s="1"/>
  <c r="BZ136" i="7"/>
  <c r="BY136" i="7"/>
  <c r="CG136" i="7"/>
  <c r="CQ136" i="7" s="1"/>
  <c r="BW136" i="7"/>
  <c r="AX136" i="7"/>
  <c r="AZ136" i="7" s="1"/>
  <c r="BA136" i="7" s="1"/>
  <c r="BB136" i="7" s="1"/>
  <c r="CK136" i="7" s="1"/>
  <c r="CG177" i="7"/>
  <c r="CQ177" i="7" s="1"/>
  <c r="AX177" i="7"/>
  <c r="CG140" i="7"/>
  <c r="CQ140" i="7" s="1"/>
  <c r="BW140" i="7"/>
  <c r="AX140" i="7"/>
  <c r="AZ140" i="7" s="1"/>
  <c r="BA140" i="7" s="1"/>
  <c r="BB140" i="7" s="1"/>
  <c r="F140" i="7"/>
  <c r="C140" i="7" s="1"/>
  <c r="CG142" i="7"/>
  <c r="CQ142" i="7" s="1"/>
  <c r="AX142" i="7"/>
  <c r="AZ142" i="7" s="1"/>
  <c r="BA142" i="7" s="1"/>
  <c r="BB142" i="7" s="1"/>
  <c r="BW142" i="7"/>
  <c r="F142" i="7"/>
  <c r="C142" i="7" s="1"/>
  <c r="E45" i="23" s="1"/>
  <c r="CG161" i="7"/>
  <c r="CQ161" i="7" s="1"/>
  <c r="BY161" i="7"/>
  <c r="BW161" i="7"/>
  <c r="AX161" i="7"/>
  <c r="AZ161" i="7" s="1"/>
  <c r="BA161" i="7" s="1"/>
  <c r="CG117" i="7"/>
  <c r="CQ117" i="7" s="1"/>
  <c r="BY117" i="7"/>
  <c r="BW117" i="7"/>
  <c r="BZ117" i="7"/>
  <c r="AX117" i="7"/>
  <c r="AZ117" i="7" s="1"/>
  <c r="BA117" i="7" s="1"/>
  <c r="BB117" i="7" s="1"/>
  <c r="CK117" i="7" s="1"/>
  <c r="CG131" i="7"/>
  <c r="CQ131" i="7" s="1"/>
  <c r="BW131" i="7"/>
  <c r="BY131" i="7"/>
  <c r="BZ131" i="7"/>
  <c r="AX131" i="7"/>
  <c r="AZ131" i="7" s="1"/>
  <c r="BA131" i="7" s="1"/>
  <c r="BB131" i="7" s="1"/>
  <c r="CK131" i="7" s="1"/>
  <c r="CG182" i="7"/>
  <c r="CQ182" i="7" s="1"/>
  <c r="AX182" i="7"/>
  <c r="BW182" i="7"/>
  <c r="AG123" i="7"/>
  <c r="CG123" i="7" s="1"/>
  <c r="CQ123" i="7" s="1"/>
  <c r="AE121" i="7"/>
  <c r="AD121" i="7"/>
  <c r="AF121" i="7" s="1"/>
  <c r="AC121" i="7"/>
  <c r="AC115" i="7"/>
  <c r="AE115" i="7"/>
  <c r="AD115" i="7"/>
  <c r="AF115" i="7" s="1"/>
  <c r="AE124" i="7"/>
  <c r="AD124" i="7"/>
  <c r="AF124" i="7" s="1"/>
  <c r="AC124" i="7"/>
  <c r="AE122" i="7"/>
  <c r="AD122" i="7"/>
  <c r="AF122" i="7" s="1"/>
  <c r="AC122" i="7"/>
  <c r="AE114" i="7"/>
  <c r="AD114" i="7"/>
  <c r="AF114" i="7" s="1"/>
  <c r="AC114" i="7"/>
  <c r="CJ137" i="7"/>
  <c r="CI173" i="7"/>
  <c r="CJ173" i="7" s="1"/>
  <c r="CJ138" i="7"/>
  <c r="CG172" i="7"/>
  <c r="CQ172" i="7" s="1"/>
  <c r="CG154" i="7"/>
  <c r="CQ154" i="7" s="1"/>
  <c r="CG174" i="7"/>
  <c r="CQ174" i="7" s="1"/>
  <c r="CG162" i="7"/>
  <c r="CQ162" i="7" s="1"/>
  <c r="BW232" i="7"/>
  <c r="BW198" i="7"/>
  <c r="BW153" i="7"/>
  <c r="AH266" i="7"/>
  <c r="AH267" i="7"/>
  <c r="AH269" i="7"/>
  <c r="AH275" i="7"/>
  <c r="AH274" i="7"/>
  <c r="AH272" i="7"/>
  <c r="AH270" i="7"/>
  <c r="AH273" i="7"/>
  <c r="AH265" i="7"/>
  <c r="AH268" i="7"/>
  <c r="AH271" i="7"/>
  <c r="BW173" i="7"/>
  <c r="BZ229" i="7"/>
  <c r="CE229" i="7" s="1"/>
  <c r="CO229" i="7"/>
  <c r="CT229" i="7" s="1"/>
  <c r="BZ168" i="7"/>
  <c r="CE168" i="7" s="1"/>
  <c r="CO168" i="7"/>
  <c r="CT168" i="7" s="1"/>
  <c r="BY228" i="7"/>
  <c r="CD228" i="7" s="1"/>
  <c r="CN228" i="7"/>
  <c r="CS228" i="7" s="1"/>
  <c r="BZ142" i="7"/>
  <c r="CO142" i="7"/>
  <c r="CT142" i="7" s="1"/>
  <c r="BZ149" i="7"/>
  <c r="CO149" i="7"/>
  <c r="CT149" i="7" s="1"/>
  <c r="BY189" i="7"/>
  <c r="CD189" i="7" s="1"/>
  <c r="CN189" i="7"/>
  <c r="CS189" i="7" s="1"/>
  <c r="BY148" i="7"/>
  <c r="CN148" i="7"/>
  <c r="CS148" i="7" s="1"/>
  <c r="CK256" i="7"/>
  <c r="DC129" i="7"/>
  <c r="CK129" i="7"/>
  <c r="BY157" i="7"/>
  <c r="CD157" i="7" s="1"/>
  <c r="CN157" i="7"/>
  <c r="CS157" i="7" s="1"/>
  <c r="BZ143" i="7"/>
  <c r="CO143" i="7"/>
  <c r="CT143" i="7" s="1"/>
  <c r="BZ195" i="7"/>
  <c r="CO195" i="7"/>
  <c r="CT195" i="7" s="1"/>
  <c r="BZ135" i="7"/>
  <c r="CQ135" i="7"/>
  <c r="CQ152" i="7"/>
  <c r="BY227" i="7"/>
  <c r="CD227" i="7" s="1"/>
  <c r="CN227" i="7"/>
  <c r="CS227" i="7" s="1"/>
  <c r="BZ207" i="7"/>
  <c r="CO207" i="7"/>
  <c r="CT207" i="7" s="1"/>
  <c r="CQ141" i="7"/>
  <c r="BZ139" i="7"/>
  <c r="CO139" i="7"/>
  <c r="CT139" i="7" s="1"/>
  <c r="BY194" i="7"/>
  <c r="CD194" i="7" s="1"/>
  <c r="CN194" i="7"/>
  <c r="CS194" i="7" s="1"/>
  <c r="BZ140" i="7"/>
  <c r="CO140" i="7"/>
  <c r="CT140" i="7" s="1"/>
  <c r="CK157" i="7"/>
  <c r="BZ161" i="7"/>
  <c r="CO161" i="7"/>
  <c r="CT161" i="7" s="1"/>
  <c r="BZ133" i="7"/>
  <c r="CQ133" i="7"/>
  <c r="BZ147" i="7"/>
  <c r="CQ147" i="7"/>
  <c r="AX150" i="7"/>
  <c r="AZ150" i="7" s="1"/>
  <c r="BA150" i="7" s="1"/>
  <c r="BB150" i="7" s="1"/>
  <c r="DC150" i="7" s="1"/>
  <c r="CQ150" i="7"/>
  <c r="BZ170" i="7"/>
  <c r="CE170" i="7" s="1"/>
  <c r="CO170" i="7"/>
  <c r="CT170" i="7" s="1"/>
  <c r="BZ223" i="7"/>
  <c r="CE223" i="7" s="1"/>
  <c r="CO223" i="7"/>
  <c r="CT223" i="7" s="1"/>
  <c r="BY213" i="7"/>
  <c r="CD213" i="7" s="1"/>
  <c r="CN213" i="7"/>
  <c r="CS213" i="7" s="1"/>
  <c r="BW264" i="7"/>
  <c r="CQ264" i="7"/>
  <c r="BZ190" i="7"/>
  <c r="CO190" i="7"/>
  <c r="CT190" i="7" s="1"/>
  <c r="BY144" i="7"/>
  <c r="CD144" i="7" s="1"/>
  <c r="CN144" i="7"/>
  <c r="CS144" i="7" s="1"/>
  <c r="BY184" i="7"/>
  <c r="CD184" i="7" s="1"/>
  <c r="CN184" i="7"/>
  <c r="CS184" i="7" s="1"/>
  <c r="BZ240" i="7"/>
  <c r="CO240" i="7"/>
  <c r="CT240" i="7" s="1"/>
  <c r="BZ146" i="7"/>
  <c r="CQ146" i="7"/>
  <c r="C153" i="7"/>
  <c r="C198" i="7"/>
  <c r="C232" i="7"/>
  <c r="C162" i="7"/>
  <c r="C173" i="7"/>
  <c r="C208" i="7"/>
  <c r="C241" i="7"/>
  <c r="C251" i="7"/>
  <c r="C144" i="7"/>
  <c r="CE251" i="7"/>
  <c r="CE257" i="7"/>
  <c r="CE253" i="7"/>
  <c r="CE255" i="7"/>
  <c r="CE252" i="7"/>
  <c r="CE250" i="7"/>
  <c r="CE254" i="7"/>
  <c r="CE258" i="7"/>
  <c r="CE238" i="7"/>
  <c r="CB184" i="7"/>
  <c r="CB170" i="7"/>
  <c r="CE159" i="7"/>
  <c r="CB168" i="7"/>
  <c r="CE128" i="7"/>
  <c r="DC128" i="7"/>
  <c r="CE134" i="7"/>
  <c r="DC134" i="7"/>
  <c r="CE125" i="7"/>
  <c r="DC125" i="7"/>
  <c r="CE126" i="7"/>
  <c r="DC126" i="7"/>
  <c r="CE127" i="7"/>
  <c r="DC127" i="7"/>
  <c r="DC130" i="7"/>
  <c r="AX147" i="7"/>
  <c r="AZ147" i="7" s="1"/>
  <c r="BA147" i="7" s="1"/>
  <c r="BB147" i="7" s="1"/>
  <c r="DC147" i="7" s="1"/>
  <c r="AX133" i="7"/>
  <c r="AZ133" i="7" s="1"/>
  <c r="BA133" i="7" s="1"/>
  <c r="BB133" i="7" s="1"/>
  <c r="CK133" i="7" s="1"/>
  <c r="CB256" i="7"/>
  <c r="BY147" i="7"/>
  <c r="CD126" i="7"/>
  <c r="CD258" i="7"/>
  <c r="CD251" i="7"/>
  <c r="CD256" i="7"/>
  <c r="CB129" i="7"/>
  <c r="CE129" i="7"/>
  <c r="CD134" i="7"/>
  <c r="CD254" i="7"/>
  <c r="CD125" i="7"/>
  <c r="CD238" i="7"/>
  <c r="CD250" i="7"/>
  <c r="CD159" i="7"/>
  <c r="CD129" i="7"/>
  <c r="CD128" i="7"/>
  <c r="CD130" i="7"/>
  <c r="CD253" i="7"/>
  <c r="CD255" i="7"/>
  <c r="CD257" i="7"/>
  <c r="CD127" i="7"/>
  <c r="CD252" i="7"/>
  <c r="BW162" i="7"/>
  <c r="CE144" i="7"/>
  <c r="CE130" i="7"/>
  <c r="CE157" i="7"/>
  <c r="CE184" i="7"/>
  <c r="CE256" i="7"/>
  <c r="CB258" i="7"/>
  <c r="CB130" i="7"/>
  <c r="AX141" i="7"/>
  <c r="AZ141" i="7" s="1"/>
  <c r="BA141" i="7" s="1"/>
  <c r="BB141" i="7" s="1"/>
  <c r="DC141" i="7" s="1"/>
  <c r="CB126" i="7"/>
  <c r="CB134" i="7"/>
  <c r="CB257" i="7"/>
  <c r="CB157" i="7"/>
  <c r="AX264" i="7"/>
  <c r="CB251" i="7"/>
  <c r="CB144" i="7"/>
  <c r="BZ141" i="7"/>
  <c r="AX152" i="7"/>
  <c r="AZ152" i="7" s="1"/>
  <c r="BA152" i="7" s="1"/>
  <c r="BB152" i="7" s="1"/>
  <c r="DC152" i="7" s="1"/>
  <c r="AX135" i="7"/>
  <c r="AZ135" i="7" s="1"/>
  <c r="BA135" i="7" s="1"/>
  <c r="BB135" i="7" s="1"/>
  <c r="AX146" i="7"/>
  <c r="AZ146" i="7" s="1"/>
  <c r="BA146" i="7" s="1"/>
  <c r="BB146" i="7" s="1"/>
  <c r="BW141" i="7"/>
  <c r="BW152" i="7"/>
  <c r="BY133" i="7"/>
  <c r="BY146" i="7"/>
  <c r="AX172" i="7"/>
  <c r="AZ172" i="7" s="1"/>
  <c r="AX162" i="7"/>
  <c r="BW147" i="7"/>
  <c r="BW135" i="7"/>
  <c r="BW150" i="7"/>
  <c r="AX174" i="7"/>
  <c r="F141" i="7"/>
  <c r="AY137" i="7"/>
  <c r="AZ137" i="7" s="1"/>
  <c r="BA137" i="7" s="1"/>
  <c r="BW146" i="7"/>
  <c r="BY135" i="7"/>
  <c r="AG120" i="7"/>
  <c r="CG120" i="7" s="1"/>
  <c r="BW172" i="7"/>
  <c r="AG119" i="7"/>
  <c r="CG119" i="7" s="1"/>
  <c r="AG116" i="7"/>
  <c r="CG116" i="7" s="1"/>
  <c r="BY208" i="7"/>
  <c r="BW208" i="7"/>
  <c r="BY162" i="7"/>
  <c r="BW241" i="7"/>
  <c r="BY241" i="7"/>
  <c r="CB125" i="7"/>
  <c r="CB250" i="7"/>
  <c r="CB128" i="7"/>
  <c r="CB252" i="7"/>
  <c r="CB254" i="7"/>
  <c r="CB253" i="7"/>
  <c r="CB238" i="7"/>
  <c r="CB127" i="7"/>
  <c r="CB159" i="7"/>
  <c r="CB255" i="7"/>
  <c r="BW133" i="7"/>
  <c r="BW138" i="7"/>
  <c r="AY138" i="7"/>
  <c r="AZ138" i="7" s="1"/>
  <c r="BA138" i="7" s="1"/>
  <c r="BB138" i="7" s="1"/>
  <c r="DC138" i="7" s="1"/>
  <c r="BW137" i="7"/>
  <c r="AX154" i="7"/>
  <c r="AG118" i="7"/>
  <c r="CG118" i="7" s="1"/>
  <c r="BU240" i="7"/>
  <c r="BT240" i="7"/>
  <c r="BQ162" i="7"/>
  <c r="BR162" i="7"/>
  <c r="BQ208" i="7"/>
  <c r="BR208" i="7"/>
  <c r="BT207" i="7"/>
  <c r="BU207" i="7"/>
  <c r="BQ241" i="7"/>
  <c r="BR241" i="7"/>
  <c r="BN168" i="7"/>
  <c r="BT168" i="7"/>
  <c r="BO223" i="7"/>
  <c r="BO140" i="7"/>
  <c r="BO142" i="7"/>
  <c r="BO141" i="7"/>
  <c r="BO170" i="7"/>
  <c r="BO229" i="7"/>
  <c r="BO149" i="7"/>
  <c r="BO190" i="7"/>
  <c r="BT150" i="7"/>
  <c r="BU150" i="7"/>
  <c r="BR145" i="7"/>
  <c r="BQ145" i="7"/>
  <c r="BQ150" i="7"/>
  <c r="BR150" i="7"/>
  <c r="BL230" i="7"/>
  <c r="BN230" i="7"/>
  <c r="BM230" i="7"/>
  <c r="BM145" i="7"/>
  <c r="BN145" i="7"/>
  <c r="BL145" i="7"/>
  <c r="BR196" i="7"/>
  <c r="BQ196" i="7"/>
  <c r="BQ151" i="7"/>
  <c r="BR151" i="7"/>
  <c r="BO139" i="7"/>
  <c r="BQ230" i="7"/>
  <c r="BR230" i="7"/>
  <c r="BU145" i="7"/>
  <c r="BT145" i="7"/>
  <c r="BT196" i="7"/>
  <c r="BU196" i="7"/>
  <c r="BR171" i="7"/>
  <c r="BQ171" i="7"/>
  <c r="BT230" i="7"/>
  <c r="BU230" i="7"/>
  <c r="BL196" i="7"/>
  <c r="BM196" i="7"/>
  <c r="BN196" i="7"/>
  <c r="BN150" i="7"/>
  <c r="BM150" i="7"/>
  <c r="BL150" i="7"/>
  <c r="BU171" i="7"/>
  <c r="BT171" i="7"/>
  <c r="BO143" i="7"/>
  <c r="BU151" i="7"/>
  <c r="BT151" i="7"/>
  <c r="BL171" i="7"/>
  <c r="BN171" i="7"/>
  <c r="BM171" i="7"/>
  <c r="BN151" i="7"/>
  <c r="BM151" i="7"/>
  <c r="BL151" i="7"/>
  <c r="BO195" i="7"/>
  <c r="BG101" i="7"/>
  <c r="BH101" i="7"/>
  <c r="CH174" i="7"/>
  <c r="CI233" i="7"/>
  <c r="CJ233" i="7" s="1"/>
  <c r="AH137" i="7"/>
  <c r="AH264" i="7"/>
  <c r="AH101" i="7"/>
  <c r="AZ240" i="7"/>
  <c r="BA239" i="7"/>
  <c r="BA230" i="7"/>
  <c r="F233" i="7"/>
  <c r="S234" i="7"/>
  <c r="AY241" i="7"/>
  <c r="V243" i="7"/>
  <c r="F242" i="7"/>
  <c r="AY232" i="7"/>
  <c r="AZ231" i="7"/>
  <c r="BA145" i="7"/>
  <c r="BB145" i="7" s="1"/>
  <c r="V210" i="7"/>
  <c r="F209" i="7"/>
  <c r="BA206" i="7"/>
  <c r="BB195" i="7"/>
  <c r="BB190" i="7"/>
  <c r="AZ197" i="7"/>
  <c r="AY198" i="7"/>
  <c r="BB205" i="7"/>
  <c r="DC205" i="7" s="1"/>
  <c r="AY208" i="7"/>
  <c r="S200" i="7"/>
  <c r="F199" i="7"/>
  <c r="BA196" i="7"/>
  <c r="AZ207" i="7"/>
  <c r="F163" i="7"/>
  <c r="F174" i="7"/>
  <c r="AY153" i="7"/>
  <c r="F154" i="7"/>
  <c r="S155" i="7"/>
  <c r="BA171" i="7"/>
  <c r="AY162" i="7"/>
  <c r="AY173" i="7"/>
  <c r="V164" i="7"/>
  <c r="T175" i="7"/>
  <c r="BB148" i="7"/>
  <c r="BB132" i="7"/>
  <c r="CK132" i="7" s="1"/>
  <c r="AA101" i="7"/>
  <c r="AA112" i="7"/>
  <c r="AA111" i="7"/>
  <c r="AA110" i="7"/>
  <c r="AA109" i="7"/>
  <c r="AA108" i="7"/>
  <c r="AA107" i="7"/>
  <c r="AA106" i="7"/>
  <c r="AA104" i="7"/>
  <c r="AA103" i="7"/>
  <c r="CI199" i="7" l="1"/>
  <c r="CJ199" i="7" s="1"/>
  <c r="CI154" i="7"/>
  <c r="CJ154" i="7" s="1"/>
  <c r="CK149" i="7"/>
  <c r="DC149" i="7"/>
  <c r="CK190" i="7"/>
  <c r="DC190" i="7"/>
  <c r="CK151" i="7"/>
  <c r="DC151" i="7"/>
  <c r="CK142" i="7"/>
  <c r="DC142" i="7"/>
  <c r="CK146" i="7"/>
  <c r="DC146" i="7"/>
  <c r="CK140" i="7"/>
  <c r="DC140" i="7"/>
  <c r="CK195" i="7"/>
  <c r="DC195" i="7"/>
  <c r="CK148" i="7"/>
  <c r="DC148" i="7"/>
  <c r="CK145" i="7"/>
  <c r="DC145" i="7"/>
  <c r="CK139" i="7"/>
  <c r="DC139" i="7"/>
  <c r="BK200" i="7"/>
  <c r="AM200" i="7"/>
  <c r="AN200" i="7"/>
  <c r="DB200" i="7" s="1"/>
  <c r="AM234" i="7"/>
  <c r="AN234" i="7"/>
  <c r="DB234" i="7" s="1"/>
  <c r="BK234" i="7"/>
  <c r="BS175" i="7"/>
  <c r="AW175" i="7"/>
  <c r="CH175" i="7" s="1"/>
  <c r="AP210" i="7"/>
  <c r="CJ210" i="7" s="1"/>
  <c r="BP210" i="7"/>
  <c r="AO210" i="7"/>
  <c r="BK155" i="7"/>
  <c r="AM155" i="7"/>
  <c r="AN155" i="7"/>
  <c r="DB155" i="7" s="1"/>
  <c r="BP164" i="7"/>
  <c r="AP164" i="7"/>
  <c r="CJ164" i="7" s="1"/>
  <c r="AO164" i="7"/>
  <c r="AP243" i="7"/>
  <c r="BP243" i="7"/>
  <c r="AO243" i="7"/>
  <c r="AX123" i="7"/>
  <c r="AZ123" i="7" s="1"/>
  <c r="BA123" i="7" s="1"/>
  <c r="BB123" i="7" s="1"/>
  <c r="CK123" i="7" s="1"/>
  <c r="BW123" i="7"/>
  <c r="BY123" i="7"/>
  <c r="BZ123" i="7"/>
  <c r="CI174" i="7"/>
  <c r="CJ174" i="7" s="1"/>
  <c r="BW199" i="7"/>
  <c r="BW174" i="7"/>
  <c r="BW233" i="7"/>
  <c r="BW154" i="7"/>
  <c r="CK150" i="7"/>
  <c r="BY139" i="7"/>
  <c r="CD139" i="7" s="1"/>
  <c r="CN139" i="7"/>
  <c r="CS139" i="7" s="1"/>
  <c r="BY223" i="7"/>
  <c r="CD223" i="7" s="1"/>
  <c r="CN223" i="7"/>
  <c r="CS223" i="7" s="1"/>
  <c r="CK152" i="7"/>
  <c r="CK205" i="7"/>
  <c r="BZ171" i="7"/>
  <c r="CO171" i="7"/>
  <c r="CT171" i="7" s="1"/>
  <c r="BZ151" i="7"/>
  <c r="CE151" i="7" s="1"/>
  <c r="CO151" i="7"/>
  <c r="CT151" i="7" s="1"/>
  <c r="BY190" i="7"/>
  <c r="CD190" i="7" s="1"/>
  <c r="CN190" i="7"/>
  <c r="CS190" i="7" s="1"/>
  <c r="BZ208" i="7"/>
  <c r="CO208" i="7"/>
  <c r="CT208" i="7" s="1"/>
  <c r="BY149" i="7"/>
  <c r="CD149" i="7" s="1"/>
  <c r="CN149" i="7"/>
  <c r="CS149" i="7" s="1"/>
  <c r="CK147" i="7"/>
  <c r="BZ150" i="7"/>
  <c r="CE150" i="7" s="1"/>
  <c r="CO150" i="7"/>
  <c r="CT150" i="7" s="1"/>
  <c r="BY229" i="7"/>
  <c r="CD229" i="7" s="1"/>
  <c r="CN229" i="7"/>
  <c r="CS229" i="7" s="1"/>
  <c r="BZ241" i="7"/>
  <c r="CO241" i="7"/>
  <c r="CT241" i="7" s="1"/>
  <c r="BZ162" i="7"/>
  <c r="CO162" i="7"/>
  <c r="CT162" i="7" s="1"/>
  <c r="BZ118" i="7"/>
  <c r="CQ118" i="7"/>
  <c r="BZ116" i="7"/>
  <c r="CQ116" i="7"/>
  <c r="BY195" i="7"/>
  <c r="CD195" i="7" s="1"/>
  <c r="CN195" i="7"/>
  <c r="CS195" i="7" s="1"/>
  <c r="BZ196" i="7"/>
  <c r="CO196" i="7"/>
  <c r="CT196" i="7" s="1"/>
  <c r="BY170" i="7"/>
  <c r="CD170" i="7" s="1"/>
  <c r="CN170" i="7"/>
  <c r="CS170" i="7" s="1"/>
  <c r="BZ119" i="7"/>
  <c r="CQ119" i="7"/>
  <c r="BY143" i="7"/>
  <c r="CN143" i="7"/>
  <c r="CS143" i="7" s="1"/>
  <c r="BY141" i="7"/>
  <c r="CD141" i="7" s="1"/>
  <c r="CN141" i="7"/>
  <c r="CS141" i="7" s="1"/>
  <c r="CK138" i="7"/>
  <c r="CK141" i="7"/>
  <c r="BZ230" i="7"/>
  <c r="CO230" i="7"/>
  <c r="CT230" i="7" s="1"/>
  <c r="BZ145" i="7"/>
  <c r="CE145" i="7" s="1"/>
  <c r="CO145" i="7"/>
  <c r="CT145" i="7" s="1"/>
  <c r="BY142" i="7"/>
  <c r="CD142" i="7" s="1"/>
  <c r="CN142" i="7"/>
  <c r="CS142" i="7" s="1"/>
  <c r="BY140" i="7"/>
  <c r="CD140" i="7" s="1"/>
  <c r="CN140" i="7"/>
  <c r="CS140" i="7" s="1"/>
  <c r="AX120" i="7"/>
  <c r="AZ120" i="7" s="1"/>
  <c r="BA120" i="7" s="1"/>
  <c r="BB120" i="7" s="1"/>
  <c r="CQ120" i="7"/>
  <c r="DC135" i="7"/>
  <c r="CK135" i="7"/>
  <c r="C242" i="7"/>
  <c r="C163" i="7"/>
  <c r="C154" i="7"/>
  <c r="C233" i="7"/>
  <c r="C174" i="7"/>
  <c r="C209" i="7"/>
  <c r="C199" i="7"/>
  <c r="C141" i="7"/>
  <c r="CB190" i="7"/>
  <c r="CB195" i="7"/>
  <c r="CB151" i="7"/>
  <c r="CB139" i="7"/>
  <c r="CB148" i="7"/>
  <c r="CB142" i="7"/>
  <c r="CB140" i="7"/>
  <c r="CB149" i="7"/>
  <c r="CB145" i="7"/>
  <c r="CE146" i="7"/>
  <c r="CE133" i="7"/>
  <c r="DC133" i="7"/>
  <c r="CE131" i="7"/>
  <c r="DC131" i="7"/>
  <c r="CE117" i="7"/>
  <c r="DC117" i="7"/>
  <c r="CE132" i="7"/>
  <c r="DC132" i="7"/>
  <c r="DC136" i="7"/>
  <c r="CB147" i="7"/>
  <c r="CB135" i="7"/>
  <c r="CD133" i="7"/>
  <c r="CB152" i="7"/>
  <c r="CD147" i="7"/>
  <c r="CD148" i="7"/>
  <c r="CD132" i="7"/>
  <c r="CD135" i="7"/>
  <c r="CD146" i="7"/>
  <c r="CE136" i="7"/>
  <c r="CD117" i="7"/>
  <c r="CE205" i="7"/>
  <c r="CD205" i="7"/>
  <c r="CE149" i="7"/>
  <c r="CD136" i="7"/>
  <c r="CD131" i="7"/>
  <c r="CE141" i="7"/>
  <c r="CE142" i="7"/>
  <c r="AX119" i="7"/>
  <c r="AZ119" i="7" s="1"/>
  <c r="BA119" i="7" s="1"/>
  <c r="BB119" i="7" s="1"/>
  <c r="CE140" i="7"/>
  <c r="CE139" i="7"/>
  <c r="CE195" i="7"/>
  <c r="CE147" i="7"/>
  <c r="CE148" i="7"/>
  <c r="CE135" i="7"/>
  <c r="CE190" i="7"/>
  <c r="CB150" i="7"/>
  <c r="CB141" i="7"/>
  <c r="CB133" i="7"/>
  <c r="AX116" i="7"/>
  <c r="AZ116" i="7" s="1"/>
  <c r="BA116" i="7" s="1"/>
  <c r="BB116" i="7" s="1"/>
  <c r="CK116" i="7" s="1"/>
  <c r="BW116" i="7"/>
  <c r="BW119" i="7"/>
  <c r="BY119" i="7"/>
  <c r="CB146" i="7"/>
  <c r="BW120" i="7"/>
  <c r="BZ120" i="7"/>
  <c r="BY118" i="7"/>
  <c r="BY116" i="7"/>
  <c r="BY120" i="7"/>
  <c r="AG115" i="7"/>
  <c r="CG115" i="7" s="1"/>
  <c r="AG122" i="7"/>
  <c r="CG122" i="7" s="1"/>
  <c r="AG124" i="7"/>
  <c r="CG124" i="7" s="1"/>
  <c r="AG114" i="7"/>
  <c r="BW242" i="7"/>
  <c r="BY242" i="7"/>
  <c r="BY163" i="7"/>
  <c r="BW163" i="7"/>
  <c r="BW209" i="7"/>
  <c r="BY209" i="7"/>
  <c r="CB205" i="7"/>
  <c r="CB117" i="7"/>
  <c r="CB136" i="7"/>
  <c r="CB132" i="7"/>
  <c r="CB131" i="7"/>
  <c r="BW118" i="7"/>
  <c r="CB138" i="7"/>
  <c r="BO168" i="7"/>
  <c r="AX118" i="7"/>
  <c r="AZ118" i="7" s="1"/>
  <c r="BA118" i="7" s="1"/>
  <c r="AG121" i="7"/>
  <c r="CG121" i="7" s="1"/>
  <c r="BT208" i="7"/>
  <c r="BU208" i="7"/>
  <c r="BQ209" i="7"/>
  <c r="BR209" i="7"/>
  <c r="BU162" i="7"/>
  <c r="BT162" i="7"/>
  <c r="BU241" i="7"/>
  <c r="BT241" i="7"/>
  <c r="BQ242" i="7"/>
  <c r="BR242" i="7"/>
  <c r="BR163" i="7"/>
  <c r="BQ163" i="7"/>
  <c r="BO171" i="7"/>
  <c r="BO230" i="7"/>
  <c r="BO145" i="7"/>
  <c r="BU172" i="7"/>
  <c r="BT172" i="7"/>
  <c r="BN231" i="7"/>
  <c r="BL231" i="7"/>
  <c r="BM231" i="7"/>
  <c r="BU197" i="7"/>
  <c r="BT197" i="7"/>
  <c r="BL197" i="7"/>
  <c r="BM197" i="7"/>
  <c r="BN197" i="7"/>
  <c r="BM138" i="7"/>
  <c r="BL138" i="7"/>
  <c r="BN138" i="7"/>
  <c r="BR137" i="7"/>
  <c r="BQ137" i="7"/>
  <c r="BO150" i="7"/>
  <c r="BR172" i="7"/>
  <c r="BQ172" i="7"/>
  <c r="BU138" i="7"/>
  <c r="BT138" i="7"/>
  <c r="BU137" i="7"/>
  <c r="BT137" i="7"/>
  <c r="BO196" i="7"/>
  <c r="BU152" i="7"/>
  <c r="BT152" i="7"/>
  <c r="BR138" i="7"/>
  <c r="BQ138" i="7"/>
  <c r="BO151" i="7"/>
  <c r="BL172" i="7"/>
  <c r="BN172" i="7"/>
  <c r="BM172" i="7"/>
  <c r="BN137" i="7"/>
  <c r="BM137" i="7"/>
  <c r="BL137" i="7"/>
  <c r="BN152" i="7"/>
  <c r="BM152" i="7"/>
  <c r="BL152" i="7"/>
  <c r="BR231" i="7"/>
  <c r="BQ231" i="7"/>
  <c r="BR152" i="7"/>
  <c r="BQ152" i="7"/>
  <c r="BT231" i="7"/>
  <c r="BU231" i="7"/>
  <c r="BR197" i="7"/>
  <c r="BQ197" i="7"/>
  <c r="AH102" i="7"/>
  <c r="CJ243" i="7"/>
  <c r="AH113" i="7"/>
  <c r="CI234" i="7"/>
  <c r="CJ234" i="7" s="1"/>
  <c r="AB101" i="7"/>
  <c r="AT101" i="7"/>
  <c r="AU101" i="7" s="1"/>
  <c r="AV101" i="7" s="1"/>
  <c r="AW101" i="7" s="1"/>
  <c r="DB101" i="7" s="1"/>
  <c r="AB109" i="7"/>
  <c r="AT109" i="7"/>
  <c r="AU109" i="7" s="1"/>
  <c r="AV109" i="7" s="1"/>
  <c r="AB106" i="7"/>
  <c r="AT106" i="7"/>
  <c r="AU106" i="7" s="1"/>
  <c r="AV106" i="7" s="1"/>
  <c r="AB107" i="7"/>
  <c r="AT107" i="7"/>
  <c r="AU107" i="7" s="1"/>
  <c r="AV107" i="7" s="1"/>
  <c r="AB110" i="7"/>
  <c r="AT110" i="7"/>
  <c r="AU110" i="7" s="1"/>
  <c r="AV110" i="7" s="1"/>
  <c r="AB103" i="7"/>
  <c r="AT103" i="7"/>
  <c r="AU103" i="7" s="1"/>
  <c r="AV103" i="7" s="1"/>
  <c r="AB111" i="7"/>
  <c r="AT111" i="7"/>
  <c r="AU111" i="7" s="1"/>
  <c r="AV111" i="7" s="1"/>
  <c r="AB104" i="7"/>
  <c r="AT104" i="7"/>
  <c r="AU104" i="7" s="1"/>
  <c r="AV104" i="7" s="1"/>
  <c r="AB112" i="7"/>
  <c r="AT112" i="7"/>
  <c r="AU112" i="7" s="1"/>
  <c r="AV112" i="7" s="1"/>
  <c r="AB108" i="7"/>
  <c r="AT108" i="7"/>
  <c r="AU108" i="7" s="1"/>
  <c r="AV108" i="7" s="1"/>
  <c r="BA172" i="7"/>
  <c r="BB172" i="7" s="1"/>
  <c r="F243" i="7"/>
  <c r="V244" i="7"/>
  <c r="BB239" i="7"/>
  <c r="DC239" i="7" s="1"/>
  <c r="BA240" i="7"/>
  <c r="BA231" i="7"/>
  <c r="AY233" i="7"/>
  <c r="BB230" i="7"/>
  <c r="AZ232" i="7"/>
  <c r="AY242" i="7"/>
  <c r="F234" i="7"/>
  <c r="AZ241" i="7"/>
  <c r="BB196" i="7"/>
  <c r="AZ198" i="7"/>
  <c r="AY209" i="7"/>
  <c r="AY199" i="7"/>
  <c r="BA207" i="7"/>
  <c r="S201" i="7"/>
  <c r="F200" i="7"/>
  <c r="AZ208" i="7"/>
  <c r="BA197" i="7"/>
  <c r="BB206" i="7"/>
  <c r="DC206" i="7" s="1"/>
  <c r="V211" i="7"/>
  <c r="F210" i="7"/>
  <c r="F164" i="7"/>
  <c r="F175" i="7"/>
  <c r="BB137" i="7"/>
  <c r="F155" i="7"/>
  <c r="S156" i="7"/>
  <c r="AY154" i="7"/>
  <c r="AZ153" i="7"/>
  <c r="AY163" i="7"/>
  <c r="V165" i="7"/>
  <c r="AY174" i="7"/>
  <c r="AZ173" i="7"/>
  <c r="T176" i="7"/>
  <c r="AZ162" i="7"/>
  <c r="BB171" i="7"/>
  <c r="BB161" i="7"/>
  <c r="DC161" i="7" s="1"/>
  <c r="C158" i="7"/>
  <c r="BB143" i="7"/>
  <c r="AY103" i="7"/>
  <c r="AY112" i="7"/>
  <c r="AY104" i="7"/>
  <c r="AY109" i="7"/>
  <c r="AY113" i="7"/>
  <c r="AY105" i="7"/>
  <c r="AY110" i="7"/>
  <c r="AY111" i="7"/>
  <c r="AK101" i="7"/>
  <c r="AA102" i="7"/>
  <c r="AK102" i="7"/>
  <c r="AK111" i="7"/>
  <c r="AK110" i="7"/>
  <c r="AK104" i="7"/>
  <c r="AK112" i="7"/>
  <c r="AK105" i="7"/>
  <c r="AK109" i="7"/>
  <c r="AK108" i="7"/>
  <c r="AK106" i="7"/>
  <c r="AK103" i="7"/>
  <c r="AK107" i="7"/>
  <c r="AA105" i="7"/>
  <c r="AA113" i="7"/>
  <c r="CI200" i="7" l="1"/>
  <c r="CJ200" i="7" s="1"/>
  <c r="CI155" i="7"/>
  <c r="CJ155" i="7" s="1"/>
  <c r="CK143" i="7"/>
  <c r="DC143" i="7"/>
  <c r="CK172" i="7"/>
  <c r="DC172" i="7"/>
  <c r="CK230" i="7"/>
  <c r="DC230" i="7"/>
  <c r="CK171" i="7"/>
  <c r="DC171" i="7"/>
  <c r="CK196" i="7"/>
  <c r="DC196" i="7"/>
  <c r="CK137" i="7"/>
  <c r="DC137" i="7"/>
  <c r="AO165" i="7"/>
  <c r="BP165" i="7"/>
  <c r="AP165" i="7"/>
  <c r="CJ165" i="7" s="1"/>
  <c r="BK201" i="7"/>
  <c r="AN201" i="7"/>
  <c r="DB201" i="7" s="1"/>
  <c r="AM201" i="7"/>
  <c r="AP244" i="7"/>
  <c r="CJ244" i="7" s="1"/>
  <c r="BP244" i="7"/>
  <c r="AO244" i="7"/>
  <c r="AP211" i="7"/>
  <c r="CJ211" i="7" s="1"/>
  <c r="AO211" i="7"/>
  <c r="BP211" i="7"/>
  <c r="BS176" i="7"/>
  <c r="AW176" i="7"/>
  <c r="CH176" i="7" s="1"/>
  <c r="BK156" i="7"/>
  <c r="AM156" i="7"/>
  <c r="AN156" i="7"/>
  <c r="DB156" i="7" s="1"/>
  <c r="AE112" i="7"/>
  <c r="AD112" i="7"/>
  <c r="AF112" i="7" s="1"/>
  <c r="AC112" i="7"/>
  <c r="AE110" i="7"/>
  <c r="AD110" i="7"/>
  <c r="AF110" i="7" s="1"/>
  <c r="AC110" i="7"/>
  <c r="AE101" i="7"/>
  <c r="AD101" i="7"/>
  <c r="AC101" i="7"/>
  <c r="AF101" i="7" s="1"/>
  <c r="AE104" i="7"/>
  <c r="AD104" i="7"/>
  <c r="AF104" i="7" s="1"/>
  <c r="AC104" i="7"/>
  <c r="AE107" i="7"/>
  <c r="AD107" i="7"/>
  <c r="AF107" i="7" s="1"/>
  <c r="AC107" i="7"/>
  <c r="AE111" i="7"/>
  <c r="AD111" i="7"/>
  <c r="AF111" i="7" s="1"/>
  <c r="AC111" i="7"/>
  <c r="AE106" i="7"/>
  <c r="AC106" i="7"/>
  <c r="AD106" i="7"/>
  <c r="AF106" i="7" s="1"/>
  <c r="AC108" i="7"/>
  <c r="AE108" i="7"/>
  <c r="AD108" i="7"/>
  <c r="AF108" i="7" s="1"/>
  <c r="AD103" i="7"/>
  <c r="AF103" i="7" s="1"/>
  <c r="AC103" i="7"/>
  <c r="AE103" i="7"/>
  <c r="AE109" i="7"/>
  <c r="AD109" i="7"/>
  <c r="AF109" i="7" s="1"/>
  <c r="AC109" i="7"/>
  <c r="CI175" i="7"/>
  <c r="CJ175" i="7" s="1"/>
  <c r="CG114" i="7"/>
  <c r="CQ114" i="7" s="1"/>
  <c r="BW200" i="7"/>
  <c r="BW155" i="7"/>
  <c r="BW175" i="7"/>
  <c r="BW234" i="7"/>
  <c r="CK239" i="7"/>
  <c r="DC120" i="7"/>
  <c r="CK120" i="7"/>
  <c r="BZ152" i="7"/>
  <c r="CE152" i="7" s="1"/>
  <c r="CO152" i="7"/>
  <c r="CT152" i="7" s="1"/>
  <c r="BY150" i="7"/>
  <c r="CD150" i="7" s="1"/>
  <c r="CN150" i="7"/>
  <c r="CS150" i="7" s="1"/>
  <c r="BY145" i="7"/>
  <c r="CD145" i="7" s="1"/>
  <c r="CN145" i="7"/>
  <c r="CS145" i="7" s="1"/>
  <c r="BZ124" i="7"/>
  <c r="CQ124" i="7"/>
  <c r="CK206" i="7"/>
  <c r="BY196" i="7"/>
  <c r="CD196" i="7" s="1"/>
  <c r="CN196" i="7"/>
  <c r="CS196" i="7" s="1"/>
  <c r="BY230" i="7"/>
  <c r="CD230" i="7" s="1"/>
  <c r="CN230" i="7"/>
  <c r="CS230" i="7" s="1"/>
  <c r="BZ122" i="7"/>
  <c r="CQ122" i="7"/>
  <c r="CK161" i="7"/>
  <c r="BZ231" i="7"/>
  <c r="CO231" i="7"/>
  <c r="CT231" i="7" s="1"/>
  <c r="BZ137" i="7"/>
  <c r="CE137" i="7" s="1"/>
  <c r="CO137" i="7"/>
  <c r="CT137" i="7" s="1"/>
  <c r="BY171" i="7"/>
  <c r="CD171" i="7" s="1"/>
  <c r="CN171" i="7"/>
  <c r="CS171" i="7" s="1"/>
  <c r="BY168" i="7"/>
  <c r="CD168" i="7" s="1"/>
  <c r="CN168" i="7"/>
  <c r="CS168" i="7" s="1"/>
  <c r="BZ115" i="7"/>
  <c r="CQ115" i="7"/>
  <c r="BZ197" i="7"/>
  <c r="CO197" i="7"/>
  <c r="CT197" i="7" s="1"/>
  <c r="BY151" i="7"/>
  <c r="CD151" i="7" s="1"/>
  <c r="CN151" i="7"/>
  <c r="CS151" i="7" s="1"/>
  <c r="BZ163" i="7"/>
  <c r="CO163" i="7"/>
  <c r="CT163" i="7" s="1"/>
  <c r="DC119" i="7"/>
  <c r="CK119" i="7"/>
  <c r="BZ138" i="7"/>
  <c r="CE138" i="7" s="1"/>
  <c r="CO138" i="7"/>
  <c r="CT138" i="7" s="1"/>
  <c r="BZ242" i="7"/>
  <c r="CO242" i="7"/>
  <c r="CT242" i="7" s="1"/>
  <c r="BZ209" i="7"/>
  <c r="CO209" i="7"/>
  <c r="CT209" i="7" s="1"/>
  <c r="BZ121" i="7"/>
  <c r="CQ121" i="7"/>
  <c r="BZ172" i="7"/>
  <c r="CE172" i="7" s="1"/>
  <c r="CO172" i="7"/>
  <c r="CT172" i="7" s="1"/>
  <c r="C243" i="7"/>
  <c r="C200" i="7"/>
  <c r="C164" i="7"/>
  <c r="C234" i="7"/>
  <c r="C155" i="7"/>
  <c r="C210" i="7"/>
  <c r="C175" i="7"/>
  <c r="AX115" i="7"/>
  <c r="AZ115" i="7" s="1"/>
  <c r="BA115" i="7" s="1"/>
  <c r="BB115" i="7" s="1"/>
  <c r="CK115" i="7" s="1"/>
  <c r="CB230" i="7"/>
  <c r="CB196" i="7"/>
  <c r="CB172" i="7"/>
  <c r="CE143" i="7"/>
  <c r="CB171" i="7"/>
  <c r="AX122" i="7"/>
  <c r="AZ122" i="7" s="1"/>
  <c r="BA122" i="7" s="1"/>
  <c r="BB122" i="7" s="1"/>
  <c r="CK122" i="7" s="1"/>
  <c r="CB137" i="7"/>
  <c r="CE123" i="7"/>
  <c r="DC123" i="7"/>
  <c r="CE116" i="7"/>
  <c r="DC116" i="7"/>
  <c r="CB119" i="7"/>
  <c r="CD116" i="7"/>
  <c r="CD120" i="7"/>
  <c r="CD143" i="7"/>
  <c r="CE161" i="7"/>
  <c r="CD161" i="7"/>
  <c r="CD119" i="7"/>
  <c r="CE239" i="7"/>
  <c r="CD239" i="7"/>
  <c r="CD123" i="7"/>
  <c r="CE206" i="7"/>
  <c r="CD206" i="7"/>
  <c r="CE196" i="7"/>
  <c r="CE120" i="7"/>
  <c r="CE171" i="7"/>
  <c r="CE119" i="7"/>
  <c r="CE230" i="7"/>
  <c r="CB120" i="7"/>
  <c r="CB116" i="7"/>
  <c r="AX124" i="7"/>
  <c r="AZ124" i="7" s="1"/>
  <c r="BA124" i="7" s="1"/>
  <c r="BB124" i="7" s="1"/>
  <c r="BW114" i="7"/>
  <c r="BZ114" i="7"/>
  <c r="CB143" i="7"/>
  <c r="BW122" i="7"/>
  <c r="BW115" i="7"/>
  <c r="BY114" i="7"/>
  <c r="BY121" i="7"/>
  <c r="BW124" i="7"/>
  <c r="BY122" i="7"/>
  <c r="AX114" i="7"/>
  <c r="AZ114" i="7" s="1"/>
  <c r="BA114" i="7" s="1"/>
  <c r="BB114" i="7" s="1"/>
  <c r="BY124" i="7"/>
  <c r="BY115" i="7"/>
  <c r="BW164" i="7"/>
  <c r="BY164" i="7"/>
  <c r="BW210" i="7"/>
  <c r="BY210" i="7"/>
  <c r="BW243" i="7"/>
  <c r="BY243" i="7"/>
  <c r="CB123" i="7"/>
  <c r="CB161" i="7"/>
  <c r="CB239" i="7"/>
  <c r="CB206" i="7"/>
  <c r="BW121" i="7"/>
  <c r="BB118" i="7"/>
  <c r="CK118" i="7" s="1"/>
  <c r="AX121" i="7"/>
  <c r="AZ121" i="7" s="1"/>
  <c r="BA121" i="7" s="1"/>
  <c r="BT112" i="7"/>
  <c r="BU112" i="7"/>
  <c r="BU104" i="7"/>
  <c r="BT104" i="7"/>
  <c r="BT103" i="7"/>
  <c r="BU103" i="7"/>
  <c r="BU209" i="7"/>
  <c r="BT209" i="7"/>
  <c r="BU111" i="7"/>
  <c r="BT111" i="7"/>
  <c r="BT105" i="7"/>
  <c r="BU105" i="7"/>
  <c r="BU242" i="7"/>
  <c r="BT242" i="7"/>
  <c r="BQ210" i="7"/>
  <c r="BR210" i="7"/>
  <c r="BR243" i="7"/>
  <c r="BQ243" i="7"/>
  <c r="BU110" i="7"/>
  <c r="BT110" i="7"/>
  <c r="BU113" i="7"/>
  <c r="BT113" i="7"/>
  <c r="BU109" i="7"/>
  <c r="BT109" i="7"/>
  <c r="BT163" i="7"/>
  <c r="BU163" i="7"/>
  <c r="BQ164" i="7"/>
  <c r="BR164" i="7"/>
  <c r="BO172" i="7"/>
  <c r="BO138" i="7"/>
  <c r="BO197" i="7"/>
  <c r="BO152" i="7"/>
  <c r="BO231" i="7"/>
  <c r="BN153" i="7"/>
  <c r="BM153" i="7"/>
  <c r="BL153" i="7"/>
  <c r="BU173" i="7"/>
  <c r="BT173" i="7"/>
  <c r="BU198" i="7"/>
  <c r="BT198" i="7"/>
  <c r="BQ198" i="7"/>
  <c r="BR198" i="7"/>
  <c r="BT232" i="7"/>
  <c r="BU232" i="7"/>
  <c r="BR153" i="7"/>
  <c r="BQ153" i="7"/>
  <c r="BL198" i="7"/>
  <c r="BN198" i="7"/>
  <c r="BM198" i="7"/>
  <c r="BN232" i="7"/>
  <c r="BM232" i="7"/>
  <c r="BL232" i="7"/>
  <c r="BR232" i="7"/>
  <c r="BQ232" i="7"/>
  <c r="BN173" i="7"/>
  <c r="BL173" i="7"/>
  <c r="BM173" i="7"/>
  <c r="BU153" i="7"/>
  <c r="BT153" i="7"/>
  <c r="BO137" i="7"/>
  <c r="BR173" i="7"/>
  <c r="BQ173" i="7"/>
  <c r="CI156" i="7"/>
  <c r="CJ156" i="7" s="1"/>
  <c r="CI201" i="7"/>
  <c r="CJ201" i="7" s="1"/>
  <c r="CH101" i="7"/>
  <c r="AQ112" i="7"/>
  <c r="AR112" i="7" s="1"/>
  <c r="AS112" i="7" s="1"/>
  <c r="AL112" i="7"/>
  <c r="AQ110" i="7"/>
  <c r="AR110" i="7" s="1"/>
  <c r="AS110" i="7" s="1"/>
  <c r="AL110" i="7"/>
  <c r="AQ106" i="7"/>
  <c r="AR106" i="7" s="1"/>
  <c r="AS106" i="7" s="1"/>
  <c r="AW106" i="7" s="1"/>
  <c r="DB106" i="7" s="1"/>
  <c r="AL106" i="7"/>
  <c r="AQ108" i="7"/>
  <c r="AR108" i="7" s="1"/>
  <c r="AS108" i="7" s="1"/>
  <c r="AL108" i="7"/>
  <c r="AB102" i="7"/>
  <c r="AT102" i="7"/>
  <c r="AU102" i="7" s="1"/>
  <c r="AV102" i="7" s="1"/>
  <c r="AW102" i="7" s="1"/>
  <c r="DB102" i="7" s="1"/>
  <c r="AQ102" i="7"/>
  <c r="AR102" i="7" s="1"/>
  <c r="AS102" i="7" s="1"/>
  <c r="AL102" i="7"/>
  <c r="AQ109" i="7"/>
  <c r="AR109" i="7" s="1"/>
  <c r="AS109" i="7" s="1"/>
  <c r="AL109" i="7"/>
  <c r="AQ101" i="7"/>
  <c r="AR101" i="7" s="1"/>
  <c r="AS101" i="7" s="1"/>
  <c r="AL101" i="7"/>
  <c r="AB105" i="7"/>
  <c r="AT105" i="7"/>
  <c r="AU105" i="7" s="1"/>
  <c r="AV105" i="7" s="1"/>
  <c r="AQ104" i="7"/>
  <c r="AR104" i="7" s="1"/>
  <c r="AS104" i="7" s="1"/>
  <c r="AL104" i="7"/>
  <c r="AQ107" i="7"/>
  <c r="AR107" i="7" s="1"/>
  <c r="AS107" i="7" s="1"/>
  <c r="AL107" i="7"/>
  <c r="AQ105" i="7"/>
  <c r="AR105" i="7" s="1"/>
  <c r="AS105" i="7" s="1"/>
  <c r="AL105" i="7"/>
  <c r="AB113" i="7"/>
  <c r="AT113" i="7"/>
  <c r="AU113" i="7" s="1"/>
  <c r="AV113" i="7" s="1"/>
  <c r="AQ103" i="7"/>
  <c r="AR103" i="7" s="1"/>
  <c r="AS103" i="7" s="1"/>
  <c r="AL103" i="7"/>
  <c r="AQ111" i="7"/>
  <c r="AR111" i="7" s="1"/>
  <c r="AS111" i="7" s="1"/>
  <c r="AL111" i="7"/>
  <c r="BV207" i="7"/>
  <c r="CM207" i="7" s="1"/>
  <c r="CR207" i="7" s="1"/>
  <c r="BV262" i="7"/>
  <c r="BV181" i="7"/>
  <c r="BV263" i="7"/>
  <c r="BV180" i="7"/>
  <c r="BV235" i="7"/>
  <c r="BV247" i="7"/>
  <c r="BV218" i="7"/>
  <c r="BV250" i="7"/>
  <c r="BV224" i="7"/>
  <c r="BV246" i="7"/>
  <c r="BV237" i="7"/>
  <c r="BV192" i="7"/>
  <c r="BV191" i="7"/>
  <c r="BV187" i="7"/>
  <c r="BV214" i="7"/>
  <c r="BV202" i="7"/>
  <c r="BV254" i="7"/>
  <c r="BV159" i="7"/>
  <c r="BV221" i="7"/>
  <c r="BV249" i="7"/>
  <c r="BV252" i="7"/>
  <c r="BV157" i="7"/>
  <c r="BV223" i="7"/>
  <c r="BV217" i="7"/>
  <c r="BV248" i="7"/>
  <c r="BV203" i="7"/>
  <c r="BV193" i="7"/>
  <c r="BV204" i="7"/>
  <c r="BV257" i="7"/>
  <c r="BV133" i="7"/>
  <c r="BV136" i="7"/>
  <c r="BV225" i="7"/>
  <c r="BV188" i="7"/>
  <c r="BV215" i="7"/>
  <c r="BV219" i="7"/>
  <c r="BV226" i="7"/>
  <c r="BV258" i="7"/>
  <c r="BV255" i="7"/>
  <c r="BV186" i="7"/>
  <c r="BV220" i="7"/>
  <c r="BV236" i="7"/>
  <c r="BV227" i="7"/>
  <c r="BV222" i="7"/>
  <c r="BV185" i="7"/>
  <c r="BV216" i="7"/>
  <c r="BV259" i="7"/>
  <c r="BV148" i="7"/>
  <c r="BV253" i="7"/>
  <c r="BV130" i="7"/>
  <c r="BV134" i="7"/>
  <c r="BV146" i="7"/>
  <c r="BV170" i="7"/>
  <c r="BV194" i="7"/>
  <c r="BV184" i="7"/>
  <c r="BV150" i="7"/>
  <c r="BV251" i="7"/>
  <c r="BV149" i="7"/>
  <c r="BV256" i="7"/>
  <c r="BV147" i="7"/>
  <c r="BV228" i="7"/>
  <c r="BV213" i="7"/>
  <c r="BV189" i="7"/>
  <c r="BV129" i="7"/>
  <c r="BV127" i="7"/>
  <c r="BV144" i="7"/>
  <c r="BV135" i="7"/>
  <c r="BV132" i="7"/>
  <c r="BV126" i="7"/>
  <c r="BV125" i="7"/>
  <c r="BV128" i="7"/>
  <c r="BV116" i="7"/>
  <c r="BV141" i="7"/>
  <c r="BV131" i="7"/>
  <c r="BV190" i="7"/>
  <c r="BV205" i="7"/>
  <c r="BV143" i="7"/>
  <c r="BV118" i="7"/>
  <c r="BV120" i="7"/>
  <c r="BV238" i="7"/>
  <c r="BV140" i="7"/>
  <c r="BV117" i="7"/>
  <c r="BV139" i="7"/>
  <c r="BV142" i="7"/>
  <c r="BV168" i="7"/>
  <c r="BV160" i="7"/>
  <c r="BV119" i="7"/>
  <c r="BV195" i="7"/>
  <c r="BV229" i="7"/>
  <c r="BV123" i="7"/>
  <c r="CM123" i="7" s="1"/>
  <c r="CR123" i="7" s="1"/>
  <c r="BV239" i="7"/>
  <c r="BV151" i="7"/>
  <c r="BV121" i="7"/>
  <c r="BV115" i="7"/>
  <c r="CM115" i="7" s="1"/>
  <c r="CR115" i="7" s="1"/>
  <c r="BV145" i="7"/>
  <c r="BV124" i="7"/>
  <c r="CM124" i="7" s="1"/>
  <c r="CR124" i="7" s="1"/>
  <c r="BV137" i="7"/>
  <c r="BV122" i="7"/>
  <c r="CM122" i="7" s="1"/>
  <c r="CR122" i="7" s="1"/>
  <c r="BV114" i="7"/>
  <c r="CM114" i="7" s="1"/>
  <c r="CR114" i="7" s="1"/>
  <c r="BV171" i="7"/>
  <c r="BV196" i="7"/>
  <c r="BV230" i="7"/>
  <c r="BV206" i="7"/>
  <c r="BV161" i="7"/>
  <c r="BV152" i="7"/>
  <c r="BV240" i="7"/>
  <c r="CM240" i="7" s="1"/>
  <c r="CR240" i="7" s="1"/>
  <c r="BV197" i="7"/>
  <c r="CM197" i="7" s="1"/>
  <c r="CR197" i="7" s="1"/>
  <c r="BV231" i="7"/>
  <c r="CM231" i="7" s="1"/>
  <c r="CR231" i="7" s="1"/>
  <c r="BV172" i="7"/>
  <c r="BV138" i="7"/>
  <c r="BA241" i="7"/>
  <c r="BB240" i="7"/>
  <c r="DC240" i="7" s="1"/>
  <c r="V245" i="7"/>
  <c r="F244" i="7"/>
  <c r="AZ242" i="7"/>
  <c r="AZ233" i="7"/>
  <c r="BB231" i="7"/>
  <c r="BV241" i="7"/>
  <c r="AY243" i="7"/>
  <c r="AY234" i="7"/>
  <c r="BA232" i="7"/>
  <c r="V212" i="7"/>
  <c r="F211" i="7"/>
  <c r="BB197" i="7"/>
  <c r="BV208" i="7"/>
  <c r="BA208" i="7"/>
  <c r="AY200" i="7"/>
  <c r="AZ199" i="7"/>
  <c r="AZ209" i="7"/>
  <c r="BA198" i="7"/>
  <c r="AY210" i="7"/>
  <c r="F201" i="7"/>
  <c r="BB207" i="7"/>
  <c r="DC207" i="7" s="1"/>
  <c r="F165" i="7"/>
  <c r="F176" i="7"/>
  <c r="F156" i="7"/>
  <c r="BA153" i="7"/>
  <c r="AZ154" i="7"/>
  <c r="AY155" i="7"/>
  <c r="BA162" i="7"/>
  <c r="AY164" i="7"/>
  <c r="V166" i="7"/>
  <c r="T177" i="7"/>
  <c r="AZ174" i="7"/>
  <c r="BV162" i="7"/>
  <c r="AY175" i="7"/>
  <c r="BA173" i="7"/>
  <c r="AZ163" i="7"/>
  <c r="C169" i="7"/>
  <c r="AY158" i="7"/>
  <c r="BJ101" i="7"/>
  <c r="CL101" i="7" s="1"/>
  <c r="AK113" i="7"/>
  <c r="CK231" i="7" l="1"/>
  <c r="DC231" i="7"/>
  <c r="CK197" i="7"/>
  <c r="DC197" i="7"/>
  <c r="BP245" i="7"/>
  <c r="AO245" i="7"/>
  <c r="AP245" i="7"/>
  <c r="CJ245" i="7" s="1"/>
  <c r="AO166" i="7"/>
  <c r="BP166" i="7"/>
  <c r="AP166" i="7"/>
  <c r="CJ166" i="7" s="1"/>
  <c r="AP212" i="7"/>
  <c r="BP212" i="7"/>
  <c r="AO212" i="7"/>
  <c r="BS177" i="7"/>
  <c r="AW177" i="7"/>
  <c r="CH177" i="7" s="1"/>
  <c r="AM101" i="7"/>
  <c r="AN101" i="7" s="1"/>
  <c r="AO101" i="7"/>
  <c r="AP101" i="7" s="1"/>
  <c r="AO108" i="7"/>
  <c r="AP108" i="7" s="1"/>
  <c r="CJ108" i="7" s="1"/>
  <c r="AO107" i="7"/>
  <c r="AP107" i="7" s="1"/>
  <c r="CJ107" i="7" s="1"/>
  <c r="AM106" i="7"/>
  <c r="AN106" i="7" s="1"/>
  <c r="AO106" i="7"/>
  <c r="AP106" i="7" s="1"/>
  <c r="CT103" i="7"/>
  <c r="AO103" i="7"/>
  <c r="AP103" i="7" s="1"/>
  <c r="AM102" i="7"/>
  <c r="AN102" i="7" s="1"/>
  <c r="AO102" i="7"/>
  <c r="AP102" i="7" s="1"/>
  <c r="AG107" i="7"/>
  <c r="AD105" i="7"/>
  <c r="AF105" i="7" s="1"/>
  <c r="AC105" i="7"/>
  <c r="AE105" i="7"/>
  <c r="AE102" i="7"/>
  <c r="AD102" i="7"/>
  <c r="AC102" i="7"/>
  <c r="AF102" i="7" s="1"/>
  <c r="AD113" i="7"/>
  <c r="AC113" i="7"/>
  <c r="AE113" i="7"/>
  <c r="CI176" i="7"/>
  <c r="CJ176" i="7" s="1"/>
  <c r="BW156" i="7"/>
  <c r="BW176" i="7"/>
  <c r="BW201" i="7"/>
  <c r="CK207" i="7"/>
  <c r="BX171" i="7"/>
  <c r="CM171" i="7"/>
  <c r="CR171" i="7" s="1"/>
  <c r="BX205" i="7"/>
  <c r="CA205" i="7" s="1"/>
  <c r="CM205" i="7"/>
  <c r="CR205" i="7" s="1"/>
  <c r="BX219" i="7"/>
  <c r="CA219" i="7" s="1"/>
  <c r="CM219" i="7"/>
  <c r="CR219" i="7" s="1"/>
  <c r="BX237" i="7"/>
  <c r="CA237" i="7" s="1"/>
  <c r="CM237" i="7"/>
  <c r="CR237" i="7" s="1"/>
  <c r="BX256" i="7"/>
  <c r="CA256" i="7" s="1"/>
  <c r="CM256" i="7"/>
  <c r="CR256" i="7" s="1"/>
  <c r="BX117" i="7"/>
  <c r="CA117" i="7" s="1"/>
  <c r="CM117" i="7"/>
  <c r="CR117" i="7" s="1"/>
  <c r="BX188" i="7"/>
  <c r="CA188" i="7" s="1"/>
  <c r="CM188" i="7"/>
  <c r="CR188" i="7" s="1"/>
  <c r="BX137" i="7"/>
  <c r="CM137" i="7"/>
  <c r="CR137" i="7" s="1"/>
  <c r="BX141" i="7"/>
  <c r="CA141" i="7" s="1"/>
  <c r="CM141" i="7"/>
  <c r="CR141" i="7" s="1"/>
  <c r="BX253" i="7"/>
  <c r="CA253" i="7" s="1"/>
  <c r="CM253" i="7"/>
  <c r="CR253" i="7" s="1"/>
  <c r="BX241" i="7"/>
  <c r="CA241" i="7" s="1"/>
  <c r="CM241" i="7"/>
  <c r="CR241" i="7" s="1"/>
  <c r="BX238" i="7"/>
  <c r="CA238" i="7" s="1"/>
  <c r="CM238" i="7"/>
  <c r="CR238" i="7" s="1"/>
  <c r="BX116" i="7"/>
  <c r="CM116" i="7"/>
  <c r="CR116" i="7" s="1"/>
  <c r="BX129" i="7"/>
  <c r="CA129" i="7" s="1"/>
  <c r="CM129" i="7"/>
  <c r="CR129" i="7" s="1"/>
  <c r="BX150" i="7"/>
  <c r="CA150" i="7" s="1"/>
  <c r="CM150" i="7"/>
  <c r="CR150" i="7" s="1"/>
  <c r="BX148" i="7"/>
  <c r="CA148" i="7" s="1"/>
  <c r="CM148" i="7"/>
  <c r="CR148" i="7" s="1"/>
  <c r="BX186" i="7"/>
  <c r="CA186" i="7" s="1"/>
  <c r="CM186" i="7"/>
  <c r="CR186" i="7" s="1"/>
  <c r="BX136" i="7"/>
  <c r="CA136" i="7" s="1"/>
  <c r="CM136" i="7"/>
  <c r="CR136" i="7" s="1"/>
  <c r="BX223" i="7"/>
  <c r="CA223" i="7" s="1"/>
  <c r="CM223" i="7"/>
  <c r="CR223" i="7" s="1"/>
  <c r="BX214" i="7"/>
  <c r="CA214" i="7" s="1"/>
  <c r="CM214" i="7"/>
  <c r="CR214" i="7" s="1"/>
  <c r="BX218" i="7"/>
  <c r="CA218" i="7" s="1"/>
  <c r="CM218" i="7"/>
  <c r="CR218" i="7" s="1"/>
  <c r="BY152" i="7"/>
  <c r="CD152" i="7" s="1"/>
  <c r="CN152" i="7"/>
  <c r="CS152" i="7" s="1"/>
  <c r="BX151" i="7"/>
  <c r="CM151" i="7"/>
  <c r="CR151" i="7" s="1"/>
  <c r="BX222" i="7"/>
  <c r="CA222" i="7" s="1"/>
  <c r="CM222" i="7"/>
  <c r="CR222" i="7" s="1"/>
  <c r="BX263" i="7"/>
  <c r="CA263" i="7" s="1"/>
  <c r="CM263" i="7"/>
  <c r="CR263" i="7" s="1"/>
  <c r="BX239" i="7"/>
  <c r="CA239" i="7" s="1"/>
  <c r="CM239" i="7"/>
  <c r="CR239" i="7" s="1"/>
  <c r="BX134" i="7"/>
  <c r="CA134" i="7" s="1"/>
  <c r="CM134" i="7"/>
  <c r="CR134" i="7" s="1"/>
  <c r="BX130" i="7"/>
  <c r="CA130" i="7" s="1"/>
  <c r="CM130" i="7"/>
  <c r="CR130" i="7" s="1"/>
  <c r="CK240" i="7"/>
  <c r="BX152" i="7"/>
  <c r="CM152" i="7"/>
  <c r="CR152" i="7" s="1"/>
  <c r="BX140" i="7"/>
  <c r="CA140" i="7" s="1"/>
  <c r="CM140" i="7"/>
  <c r="CR140" i="7" s="1"/>
  <c r="BX127" i="7"/>
  <c r="CA127" i="7" s="1"/>
  <c r="CM127" i="7"/>
  <c r="CR127" i="7" s="1"/>
  <c r="BX251" i="7"/>
  <c r="CA251" i="7" s="1"/>
  <c r="CM251" i="7"/>
  <c r="CR251" i="7" s="1"/>
  <c r="BX220" i="7"/>
  <c r="CA220" i="7" s="1"/>
  <c r="CM220" i="7"/>
  <c r="CR220" i="7" s="1"/>
  <c r="BX225" i="7"/>
  <c r="CA225" i="7" s="1"/>
  <c r="CM225" i="7"/>
  <c r="CR225" i="7" s="1"/>
  <c r="BX217" i="7"/>
  <c r="CA217" i="7" s="1"/>
  <c r="CM217" i="7"/>
  <c r="CR217" i="7" s="1"/>
  <c r="BX202" i="7"/>
  <c r="CA202" i="7" s="1"/>
  <c r="CM202" i="7"/>
  <c r="CR202" i="7" s="1"/>
  <c r="BX250" i="7"/>
  <c r="CA250" i="7" s="1"/>
  <c r="CM250" i="7"/>
  <c r="CR250" i="7" s="1"/>
  <c r="BX162" i="7"/>
  <c r="CA162" i="7" s="1"/>
  <c r="CM162" i="7"/>
  <c r="CR162" i="7" s="1"/>
  <c r="BX161" i="7"/>
  <c r="CA161" i="7" s="1"/>
  <c r="CM161" i="7"/>
  <c r="CR161" i="7" s="1"/>
  <c r="BX195" i="7"/>
  <c r="CA195" i="7" s="1"/>
  <c r="CM195" i="7"/>
  <c r="CR195" i="7" s="1"/>
  <c r="BX206" i="7"/>
  <c r="CA206" i="7" s="1"/>
  <c r="CM206" i="7"/>
  <c r="CR206" i="7" s="1"/>
  <c r="BX145" i="7"/>
  <c r="CM145" i="7"/>
  <c r="CR145" i="7" s="1"/>
  <c r="BX119" i="7"/>
  <c r="CM119" i="7"/>
  <c r="CR119" i="7" s="1"/>
  <c r="BX120" i="7"/>
  <c r="CM120" i="7"/>
  <c r="CR120" i="7" s="1"/>
  <c r="BX128" i="7"/>
  <c r="CA128" i="7" s="1"/>
  <c r="CM128" i="7"/>
  <c r="CR128" i="7" s="1"/>
  <c r="BX189" i="7"/>
  <c r="CA189" i="7" s="1"/>
  <c r="CM189" i="7"/>
  <c r="CR189" i="7" s="1"/>
  <c r="BX184" i="7"/>
  <c r="CA184" i="7" s="1"/>
  <c r="CM184" i="7"/>
  <c r="CR184" i="7" s="1"/>
  <c r="BX259" i="7"/>
  <c r="CA259" i="7" s="1"/>
  <c r="CM259" i="7"/>
  <c r="CR259" i="7" s="1"/>
  <c r="BX255" i="7"/>
  <c r="CA255" i="7" s="1"/>
  <c r="CM255" i="7"/>
  <c r="CR255" i="7" s="1"/>
  <c r="BX133" i="7"/>
  <c r="CA133" i="7" s="1"/>
  <c r="CM133" i="7"/>
  <c r="CR133" i="7" s="1"/>
  <c r="BX157" i="7"/>
  <c r="CA157" i="7" s="1"/>
  <c r="CM157" i="7"/>
  <c r="CR157" i="7" s="1"/>
  <c r="BX187" i="7"/>
  <c r="CA187" i="7" s="1"/>
  <c r="CM187" i="7"/>
  <c r="CR187" i="7" s="1"/>
  <c r="BX247" i="7"/>
  <c r="CA247" i="7" s="1"/>
  <c r="CM247" i="7"/>
  <c r="CR247" i="7" s="1"/>
  <c r="BY197" i="7"/>
  <c r="CD197" i="7" s="1"/>
  <c r="CN197" i="7"/>
  <c r="CS197" i="7" s="1"/>
  <c r="BZ243" i="7"/>
  <c r="CO243" i="7"/>
  <c r="CT243" i="7" s="1"/>
  <c r="BX132" i="7"/>
  <c r="CA132" i="7" s="1"/>
  <c r="CM132" i="7"/>
  <c r="CR132" i="7" s="1"/>
  <c r="BX221" i="7"/>
  <c r="CA221" i="7" s="1"/>
  <c r="CM221" i="7"/>
  <c r="CR221" i="7" s="1"/>
  <c r="BX190" i="7"/>
  <c r="CA190" i="7" s="1"/>
  <c r="CM190" i="7"/>
  <c r="CR190" i="7" s="1"/>
  <c r="BX215" i="7"/>
  <c r="CA215" i="7" s="1"/>
  <c r="CM215" i="7"/>
  <c r="CR215" i="7" s="1"/>
  <c r="BX144" i="7"/>
  <c r="CA144" i="7" s="1"/>
  <c r="CM144" i="7"/>
  <c r="CR144" i="7" s="1"/>
  <c r="BX138" i="7"/>
  <c r="CM138" i="7"/>
  <c r="CR138" i="7" s="1"/>
  <c r="BX230" i="7"/>
  <c r="CM230" i="7"/>
  <c r="CR230" i="7" s="1"/>
  <c r="BX160" i="7"/>
  <c r="CA160" i="7" s="1"/>
  <c r="CM160" i="7"/>
  <c r="CR160" i="7" s="1"/>
  <c r="BX118" i="7"/>
  <c r="CA118" i="7" s="1"/>
  <c r="CM118" i="7"/>
  <c r="CR118" i="7" s="1"/>
  <c r="BX125" i="7"/>
  <c r="CA125" i="7" s="1"/>
  <c r="CM125" i="7"/>
  <c r="CR125" i="7" s="1"/>
  <c r="BX213" i="7"/>
  <c r="CA213" i="7" s="1"/>
  <c r="CM213" i="7"/>
  <c r="CR213" i="7" s="1"/>
  <c r="BX194" i="7"/>
  <c r="CA194" i="7" s="1"/>
  <c r="CM194" i="7"/>
  <c r="CR194" i="7" s="1"/>
  <c r="BX216" i="7"/>
  <c r="CA216" i="7" s="1"/>
  <c r="CM216" i="7"/>
  <c r="CR216" i="7" s="1"/>
  <c r="BX258" i="7"/>
  <c r="CA258" i="7" s="1"/>
  <c r="CM258" i="7"/>
  <c r="CR258" i="7" s="1"/>
  <c r="BX257" i="7"/>
  <c r="CA257" i="7" s="1"/>
  <c r="CM257" i="7"/>
  <c r="CR257" i="7" s="1"/>
  <c r="BX252" i="7"/>
  <c r="CA252" i="7" s="1"/>
  <c r="CM252" i="7"/>
  <c r="CR252" i="7" s="1"/>
  <c r="BX191" i="7"/>
  <c r="CA191" i="7" s="1"/>
  <c r="CM191" i="7"/>
  <c r="CR191" i="7" s="1"/>
  <c r="BX235" i="7"/>
  <c r="CA235" i="7" s="1"/>
  <c r="CM235" i="7"/>
  <c r="CR235" i="7" s="1"/>
  <c r="BY138" i="7"/>
  <c r="CD138" i="7" s="1"/>
  <c r="CN138" i="7"/>
  <c r="CS138" i="7" s="1"/>
  <c r="BZ210" i="7"/>
  <c r="CO210" i="7"/>
  <c r="CT210" i="7" s="1"/>
  <c r="BX208" i="7"/>
  <c r="CA208" i="7" s="1"/>
  <c r="CM208" i="7"/>
  <c r="CR208" i="7" s="1"/>
  <c r="BX172" i="7"/>
  <c r="CM172" i="7"/>
  <c r="CR172" i="7" s="1"/>
  <c r="BX196" i="7"/>
  <c r="CM196" i="7"/>
  <c r="CR196" i="7" s="1"/>
  <c r="BX121" i="7"/>
  <c r="CA121" i="7" s="1"/>
  <c r="CM121" i="7"/>
  <c r="CR121" i="7" s="1"/>
  <c r="BX168" i="7"/>
  <c r="CM168" i="7"/>
  <c r="CR168" i="7" s="1"/>
  <c r="BX143" i="7"/>
  <c r="CM143" i="7"/>
  <c r="CR143" i="7" s="1"/>
  <c r="BX126" i="7"/>
  <c r="CA126" i="7" s="1"/>
  <c r="CM126" i="7"/>
  <c r="CR126" i="7" s="1"/>
  <c r="BX228" i="7"/>
  <c r="CA228" i="7" s="1"/>
  <c r="CM228" i="7"/>
  <c r="CR228" i="7" s="1"/>
  <c r="BX170" i="7"/>
  <c r="CA170" i="7" s="1"/>
  <c r="CM170" i="7"/>
  <c r="CR170" i="7" s="1"/>
  <c r="BX185" i="7"/>
  <c r="CA185" i="7" s="1"/>
  <c r="CM185" i="7"/>
  <c r="CR185" i="7" s="1"/>
  <c r="BX226" i="7"/>
  <c r="CA226" i="7" s="1"/>
  <c r="CM226" i="7"/>
  <c r="CR226" i="7" s="1"/>
  <c r="BX204" i="7"/>
  <c r="CA204" i="7" s="1"/>
  <c r="CM204" i="7"/>
  <c r="CR204" i="7" s="1"/>
  <c r="BX249" i="7"/>
  <c r="CA249" i="7" s="1"/>
  <c r="CM249" i="7"/>
  <c r="CR249" i="7" s="1"/>
  <c r="BX192" i="7"/>
  <c r="CA192" i="7" s="1"/>
  <c r="CM192" i="7"/>
  <c r="CR192" i="7" s="1"/>
  <c r="BX180" i="7"/>
  <c r="CA180" i="7" s="1"/>
  <c r="CM180" i="7"/>
  <c r="CR180" i="7" s="1"/>
  <c r="BZ173" i="7"/>
  <c r="CO173" i="7"/>
  <c r="CT173" i="7" s="1"/>
  <c r="BZ232" i="7"/>
  <c r="CO232" i="7"/>
  <c r="CT232" i="7" s="1"/>
  <c r="BZ153" i="7"/>
  <c r="CO153" i="7"/>
  <c r="CT153" i="7" s="1"/>
  <c r="BY172" i="7"/>
  <c r="CD172" i="7" s="1"/>
  <c r="CN172" i="7"/>
  <c r="CS172" i="7" s="1"/>
  <c r="BX146" i="7"/>
  <c r="CA146" i="7" s="1"/>
  <c r="CM146" i="7"/>
  <c r="CR146" i="7" s="1"/>
  <c r="BY137" i="7"/>
  <c r="CD137" i="7" s="1"/>
  <c r="CN137" i="7"/>
  <c r="CS137" i="7" s="1"/>
  <c r="BX147" i="7"/>
  <c r="CA147" i="7" s="1"/>
  <c r="CM147" i="7"/>
  <c r="CR147" i="7" s="1"/>
  <c r="BX135" i="7"/>
  <c r="CA135" i="7" s="1"/>
  <c r="CM135" i="7"/>
  <c r="CR135" i="7" s="1"/>
  <c r="BX203" i="7"/>
  <c r="CA203" i="7" s="1"/>
  <c r="CM203" i="7"/>
  <c r="CR203" i="7" s="1"/>
  <c r="BX159" i="7"/>
  <c r="CA159" i="7" s="1"/>
  <c r="CM159" i="7"/>
  <c r="CR159" i="7" s="1"/>
  <c r="BX246" i="7"/>
  <c r="CA246" i="7" s="1"/>
  <c r="CM246" i="7"/>
  <c r="CR246" i="7" s="1"/>
  <c r="BX181" i="7"/>
  <c r="CA181" i="7" s="1"/>
  <c r="CM181" i="7"/>
  <c r="CR181" i="7" s="1"/>
  <c r="BX131" i="7"/>
  <c r="CA131" i="7" s="1"/>
  <c r="CM131" i="7"/>
  <c r="CR131" i="7" s="1"/>
  <c r="BX236" i="7"/>
  <c r="CA236" i="7" s="1"/>
  <c r="CM236" i="7"/>
  <c r="CR236" i="7" s="1"/>
  <c r="BX248" i="7"/>
  <c r="CA248" i="7" s="1"/>
  <c r="CM248" i="7"/>
  <c r="CR248" i="7" s="1"/>
  <c r="BX254" i="7"/>
  <c r="CA254" i="7" s="1"/>
  <c r="CM254" i="7"/>
  <c r="CR254" i="7" s="1"/>
  <c r="BX224" i="7"/>
  <c r="CA224" i="7" s="1"/>
  <c r="CM224" i="7"/>
  <c r="CR224" i="7" s="1"/>
  <c r="BX262" i="7"/>
  <c r="CA262" i="7" s="1"/>
  <c r="CM262" i="7"/>
  <c r="CR262" i="7" s="1"/>
  <c r="BZ198" i="7"/>
  <c r="CO198" i="7"/>
  <c r="CT198" i="7" s="1"/>
  <c r="BZ164" i="7"/>
  <c r="CO164" i="7"/>
  <c r="CT164" i="7" s="1"/>
  <c r="DC124" i="7"/>
  <c r="CK124" i="7"/>
  <c r="BX142" i="7"/>
  <c r="CA142" i="7" s="1"/>
  <c r="CM142" i="7"/>
  <c r="CR142" i="7" s="1"/>
  <c r="BX193" i="7"/>
  <c r="CA193" i="7" s="1"/>
  <c r="CM193" i="7"/>
  <c r="CR193" i="7" s="1"/>
  <c r="BX139" i="7"/>
  <c r="CA139" i="7" s="1"/>
  <c r="CM139" i="7"/>
  <c r="CR139" i="7" s="1"/>
  <c r="BX227" i="7"/>
  <c r="CA227" i="7" s="1"/>
  <c r="CM227" i="7"/>
  <c r="CR227" i="7" s="1"/>
  <c r="BX149" i="7"/>
  <c r="CA149" i="7" s="1"/>
  <c r="CM149" i="7"/>
  <c r="CR149" i="7" s="1"/>
  <c r="BX229" i="7"/>
  <c r="CA229" i="7" s="1"/>
  <c r="CM229" i="7"/>
  <c r="CR229" i="7" s="1"/>
  <c r="BY231" i="7"/>
  <c r="CD231" i="7" s="1"/>
  <c r="CN231" i="7"/>
  <c r="CS231" i="7" s="1"/>
  <c r="DC114" i="7"/>
  <c r="CK114" i="7"/>
  <c r="C165" i="7"/>
  <c r="C211" i="7"/>
  <c r="C156" i="7"/>
  <c r="C201" i="7"/>
  <c r="C176" i="7"/>
  <c r="C244" i="7"/>
  <c r="CB231" i="7"/>
  <c r="CB197" i="7"/>
  <c r="CE122" i="7"/>
  <c r="DC122" i="7"/>
  <c r="CE118" i="7"/>
  <c r="DC118" i="7"/>
  <c r="CE115" i="7"/>
  <c r="DC115" i="7"/>
  <c r="CD124" i="7"/>
  <c r="CE207" i="7"/>
  <c r="CD207" i="7"/>
  <c r="CD115" i="7"/>
  <c r="CE240" i="7"/>
  <c r="CD240" i="7"/>
  <c r="CD114" i="7"/>
  <c r="CD122" i="7"/>
  <c r="CD118" i="7"/>
  <c r="CB124" i="7"/>
  <c r="CE197" i="7"/>
  <c r="CE114" i="7"/>
  <c r="CE231" i="7"/>
  <c r="CE124" i="7"/>
  <c r="CB122" i="7"/>
  <c r="CB115" i="7"/>
  <c r="CB114" i="7"/>
  <c r="BX231" i="7"/>
  <c r="BX197" i="7"/>
  <c r="BX123" i="7"/>
  <c r="CA123" i="7" s="1"/>
  <c r="BX240" i="7"/>
  <c r="CA240" i="7" s="1"/>
  <c r="DD240" i="7" s="1"/>
  <c r="BX114" i="7"/>
  <c r="CC114" i="7" s="1"/>
  <c r="BX207" i="7"/>
  <c r="CA207" i="7" s="1"/>
  <c r="DE207" i="7" s="1"/>
  <c r="BX115" i="7"/>
  <c r="CC115" i="7" s="1"/>
  <c r="BX124" i="7"/>
  <c r="CC124" i="7" s="1"/>
  <c r="BX122" i="7"/>
  <c r="CC122" i="7" s="1"/>
  <c r="BV173" i="7"/>
  <c r="AG106" i="7"/>
  <c r="BV232" i="7"/>
  <c r="CM232" i="7" s="1"/>
  <c r="CR232" i="7" s="1"/>
  <c r="AG101" i="7"/>
  <c r="AG103" i="7"/>
  <c r="CG103" i="7" s="1"/>
  <c r="AG108" i="7"/>
  <c r="CG108" i="7" s="1"/>
  <c r="AG110" i="7"/>
  <c r="CG110" i="7" s="1"/>
  <c r="BV153" i="7"/>
  <c r="CM153" i="7" s="1"/>
  <c r="CR153" i="7" s="1"/>
  <c r="AG112" i="7"/>
  <c r="CG112" i="7" s="1"/>
  <c r="AG111" i="7"/>
  <c r="CG111" i="7" s="1"/>
  <c r="BV198" i="7"/>
  <c r="AG104" i="7"/>
  <c r="CG104" i="7" s="1"/>
  <c r="AG109" i="7"/>
  <c r="CG109" i="7" s="1"/>
  <c r="BY165" i="7"/>
  <c r="BW165" i="7"/>
  <c r="BW211" i="7"/>
  <c r="BY211" i="7"/>
  <c r="BY244" i="7"/>
  <c r="BW244" i="7"/>
  <c r="CB240" i="7"/>
  <c r="CB118" i="7"/>
  <c r="CB207" i="7"/>
  <c r="BB121" i="7"/>
  <c r="CK121" i="7" s="1"/>
  <c r="BQ165" i="7"/>
  <c r="BR165" i="7"/>
  <c r="BU158" i="7"/>
  <c r="BT158" i="7"/>
  <c r="BU164" i="7"/>
  <c r="BT164" i="7"/>
  <c r="BU243" i="7"/>
  <c r="BT243" i="7"/>
  <c r="BU210" i="7"/>
  <c r="BT210" i="7"/>
  <c r="BQ211" i="7"/>
  <c r="BR211" i="7"/>
  <c r="BR244" i="7"/>
  <c r="BQ244" i="7"/>
  <c r="BO232" i="7"/>
  <c r="BO173" i="7"/>
  <c r="BO153" i="7"/>
  <c r="BT233" i="7"/>
  <c r="BU233" i="7"/>
  <c r="BN233" i="7"/>
  <c r="BM233" i="7"/>
  <c r="BL233" i="7"/>
  <c r="BR154" i="7"/>
  <c r="BQ154" i="7"/>
  <c r="BR233" i="7"/>
  <c r="BQ233" i="7"/>
  <c r="BO198" i="7"/>
  <c r="BU154" i="7"/>
  <c r="BT154" i="7"/>
  <c r="BN199" i="7"/>
  <c r="BL199" i="7"/>
  <c r="BM199" i="7"/>
  <c r="BN154" i="7"/>
  <c r="BM154" i="7"/>
  <c r="BL154" i="7"/>
  <c r="BR199" i="7"/>
  <c r="BQ199" i="7"/>
  <c r="BR174" i="7"/>
  <c r="BQ174" i="7"/>
  <c r="BU199" i="7"/>
  <c r="BT199" i="7"/>
  <c r="BT174" i="7"/>
  <c r="BU174" i="7"/>
  <c r="BL174" i="7"/>
  <c r="BM174" i="7"/>
  <c r="BN174" i="7"/>
  <c r="CJ212" i="7"/>
  <c r="CH102" i="7"/>
  <c r="AQ113" i="7"/>
  <c r="AR113" i="7" s="1"/>
  <c r="AS113" i="7" s="1"/>
  <c r="AL113" i="7"/>
  <c r="AO113" i="7" s="1"/>
  <c r="AP113" i="7" s="1"/>
  <c r="BB232" i="7"/>
  <c r="AZ243" i="7"/>
  <c r="BV242" i="7"/>
  <c r="BA242" i="7"/>
  <c r="AY244" i="7"/>
  <c r="BA233" i="7"/>
  <c r="F245" i="7"/>
  <c r="BB241" i="7"/>
  <c r="AZ234" i="7"/>
  <c r="BV209" i="7"/>
  <c r="AZ200" i="7"/>
  <c r="AY201" i="7"/>
  <c r="BA209" i="7"/>
  <c r="BA199" i="7"/>
  <c r="BB208" i="7"/>
  <c r="AY211" i="7"/>
  <c r="BB198" i="7"/>
  <c r="F212" i="7"/>
  <c r="AZ210" i="7"/>
  <c r="F166" i="7"/>
  <c r="F177" i="7"/>
  <c r="BA154" i="7"/>
  <c r="BB153" i="7"/>
  <c r="AY156" i="7"/>
  <c r="AZ155" i="7"/>
  <c r="BV163" i="7"/>
  <c r="AY165" i="7"/>
  <c r="AZ164" i="7"/>
  <c r="BA163" i="7"/>
  <c r="BB173" i="7"/>
  <c r="BA174" i="7"/>
  <c r="AY176" i="7"/>
  <c r="BB162" i="7"/>
  <c r="AZ175" i="7"/>
  <c r="T178" i="7"/>
  <c r="V167" i="7"/>
  <c r="AY169" i="7"/>
  <c r="AZ158" i="7"/>
  <c r="C260" i="7"/>
  <c r="DD248" i="7" l="1"/>
  <c r="DE248" i="7"/>
  <c r="DE185" i="7"/>
  <c r="DD185" i="7"/>
  <c r="DE258" i="7"/>
  <c r="DD258" i="7"/>
  <c r="DE221" i="7"/>
  <c r="DD221" i="7"/>
  <c r="DE247" i="7"/>
  <c r="DD247" i="7"/>
  <c r="DE255" i="7"/>
  <c r="DD255" i="7"/>
  <c r="DE206" i="7"/>
  <c r="DD206" i="7"/>
  <c r="DE250" i="7"/>
  <c r="DD250" i="7"/>
  <c r="DE220" i="7"/>
  <c r="DD220" i="7"/>
  <c r="DE240" i="7"/>
  <c r="DF240" i="7" s="1"/>
  <c r="DE229" i="7"/>
  <c r="DD229" i="7"/>
  <c r="DE246" i="7"/>
  <c r="DD246" i="7"/>
  <c r="DD235" i="7"/>
  <c r="DE235" i="7"/>
  <c r="DE263" i="7"/>
  <c r="DD263" i="7"/>
  <c r="DE218" i="7"/>
  <c r="DD218" i="7"/>
  <c r="DE186" i="7"/>
  <c r="DD186" i="7"/>
  <c r="DE141" i="7"/>
  <c r="DD141" i="7"/>
  <c r="DE256" i="7"/>
  <c r="DD256" i="7"/>
  <c r="CK241" i="7"/>
  <c r="DC241" i="7"/>
  <c r="CK153" i="7"/>
  <c r="DC153" i="7"/>
  <c r="CK208" i="7"/>
  <c r="DC208" i="7"/>
  <c r="DE193" i="7"/>
  <c r="DD193" i="7"/>
  <c r="DE149" i="7"/>
  <c r="DD149" i="7"/>
  <c r="DE142" i="7"/>
  <c r="DD142" i="7"/>
  <c r="DE262" i="7"/>
  <c r="DD262" i="7"/>
  <c r="DE236" i="7"/>
  <c r="DD236" i="7"/>
  <c r="DD159" i="7"/>
  <c r="DE159" i="7"/>
  <c r="DE249" i="7"/>
  <c r="DD249" i="7"/>
  <c r="DE170" i="7"/>
  <c r="DD170" i="7"/>
  <c r="DE191" i="7"/>
  <c r="DD191" i="7"/>
  <c r="DE216" i="7"/>
  <c r="DD216" i="7"/>
  <c r="DE144" i="7"/>
  <c r="DD144" i="7"/>
  <c r="DE187" i="7"/>
  <c r="DD187" i="7"/>
  <c r="DE259" i="7"/>
  <c r="DD259" i="7"/>
  <c r="DE195" i="7"/>
  <c r="DD195" i="7"/>
  <c r="DE202" i="7"/>
  <c r="DD202" i="7"/>
  <c r="DE251" i="7"/>
  <c r="DD251" i="7"/>
  <c r="DE147" i="7"/>
  <c r="DD147" i="7"/>
  <c r="DE222" i="7"/>
  <c r="DD222" i="7"/>
  <c r="DE214" i="7"/>
  <c r="DD214" i="7"/>
  <c r="DE148" i="7"/>
  <c r="DD148" i="7"/>
  <c r="DE238" i="7"/>
  <c r="DD238" i="7"/>
  <c r="DE237" i="7"/>
  <c r="DD237" i="7"/>
  <c r="DD227" i="7"/>
  <c r="DE227" i="7"/>
  <c r="DD224" i="7"/>
  <c r="DE224" i="7"/>
  <c r="DE203" i="7"/>
  <c r="DD203" i="7"/>
  <c r="DE146" i="7"/>
  <c r="DD146" i="7"/>
  <c r="DE204" i="7"/>
  <c r="DD204" i="7"/>
  <c r="DE228" i="7"/>
  <c r="DD228" i="7"/>
  <c r="DE252" i="7"/>
  <c r="DD252" i="7"/>
  <c r="DD194" i="7"/>
  <c r="DE194" i="7"/>
  <c r="DE160" i="7"/>
  <c r="DD160" i="7"/>
  <c r="DE215" i="7"/>
  <c r="DD215" i="7"/>
  <c r="DE157" i="7"/>
  <c r="DD157" i="7"/>
  <c r="DE184" i="7"/>
  <c r="DD184" i="7"/>
  <c r="DE161" i="7"/>
  <c r="DD161" i="7"/>
  <c r="DE217" i="7"/>
  <c r="DD217" i="7"/>
  <c r="DE192" i="7"/>
  <c r="DD192" i="7"/>
  <c r="CK173" i="7"/>
  <c r="DC173" i="7"/>
  <c r="DE223" i="7"/>
  <c r="DD223" i="7"/>
  <c r="DE150" i="7"/>
  <c r="DD150" i="7"/>
  <c r="DE188" i="7"/>
  <c r="DD188" i="7"/>
  <c r="DD219" i="7"/>
  <c r="DE219" i="7"/>
  <c r="CK162" i="7"/>
  <c r="DC162" i="7"/>
  <c r="CK198" i="7"/>
  <c r="DC198" i="7"/>
  <c r="CK232" i="7"/>
  <c r="DC232" i="7"/>
  <c r="DE139" i="7"/>
  <c r="DD139" i="7"/>
  <c r="DE254" i="7"/>
  <c r="DD254" i="7"/>
  <c r="DE181" i="7"/>
  <c r="DD181" i="7"/>
  <c r="DE180" i="7"/>
  <c r="DD180" i="7"/>
  <c r="DE226" i="7"/>
  <c r="DD226" i="7"/>
  <c r="DD257" i="7"/>
  <c r="DE257" i="7"/>
  <c r="DD213" i="7"/>
  <c r="DE213" i="7"/>
  <c r="DE190" i="7"/>
  <c r="DD190" i="7"/>
  <c r="DD189" i="7"/>
  <c r="DE189" i="7"/>
  <c r="DE225" i="7"/>
  <c r="DD225" i="7"/>
  <c r="DE140" i="7"/>
  <c r="DD140" i="7"/>
  <c r="DD207" i="7"/>
  <c r="DF207" i="7" s="1"/>
  <c r="DE239" i="7"/>
  <c r="DD239" i="7"/>
  <c r="DE253" i="7"/>
  <c r="DD253" i="7"/>
  <c r="DD205" i="7"/>
  <c r="DE205" i="7"/>
  <c r="CA122" i="7"/>
  <c r="DE122" i="7" s="1"/>
  <c r="CC119" i="7"/>
  <c r="CF119" i="7" s="1"/>
  <c r="CP119" i="7" s="1"/>
  <c r="CU119" i="7" s="1"/>
  <c r="CA119" i="7"/>
  <c r="DD119" i="7" s="1"/>
  <c r="CC137" i="7"/>
  <c r="CA137" i="7"/>
  <c r="CC196" i="7"/>
  <c r="CF196" i="7" s="1"/>
  <c r="CP196" i="7" s="1"/>
  <c r="CU196" i="7" s="1"/>
  <c r="CA196" i="7"/>
  <c r="CC230" i="7"/>
  <c r="CF230" i="7" s="1"/>
  <c r="CP230" i="7" s="1"/>
  <c r="CU230" i="7" s="1"/>
  <c r="CA230" i="7"/>
  <c r="CC145" i="7"/>
  <c r="CF145" i="7" s="1"/>
  <c r="CP145" i="7" s="1"/>
  <c r="CU145" i="7" s="1"/>
  <c r="CA145" i="7"/>
  <c r="CC151" i="7"/>
  <c r="CF151" i="7" s="1"/>
  <c r="CP151" i="7" s="1"/>
  <c r="CU151" i="7" s="1"/>
  <c r="CA151" i="7"/>
  <c r="CA115" i="7"/>
  <c r="DE115" i="7" s="1"/>
  <c r="CC152" i="7"/>
  <c r="CF152" i="7" s="1"/>
  <c r="CP152" i="7" s="1"/>
  <c r="CU152" i="7" s="1"/>
  <c r="CA152" i="7"/>
  <c r="CC231" i="7"/>
  <c r="CF231" i="7" s="1"/>
  <c r="CP231" i="7" s="1"/>
  <c r="CU231" i="7" s="1"/>
  <c r="CA231" i="7"/>
  <c r="DE231" i="7" s="1"/>
  <c r="CA114" i="7"/>
  <c r="DE114" i="7" s="1"/>
  <c r="CC172" i="7"/>
  <c r="CA172" i="7"/>
  <c r="CC138" i="7"/>
  <c r="CF138" i="7" s="1"/>
  <c r="CP138" i="7" s="1"/>
  <c r="CU138" i="7" s="1"/>
  <c r="CA138" i="7"/>
  <c r="CC168" i="7"/>
  <c r="CF168" i="7" s="1"/>
  <c r="CP168" i="7" s="1"/>
  <c r="CU168" i="7" s="1"/>
  <c r="CA168" i="7"/>
  <c r="CC120" i="7"/>
  <c r="CF120" i="7" s="1"/>
  <c r="CP120" i="7" s="1"/>
  <c r="CU120" i="7" s="1"/>
  <c r="CA120" i="7"/>
  <c r="DD120" i="7" s="1"/>
  <c r="CC116" i="7"/>
  <c r="CF116" i="7" s="1"/>
  <c r="CP116" i="7" s="1"/>
  <c r="CU116" i="7" s="1"/>
  <c r="CA116" i="7"/>
  <c r="DD116" i="7" s="1"/>
  <c r="CC171" i="7"/>
  <c r="CF171" i="7" s="1"/>
  <c r="CP171" i="7" s="1"/>
  <c r="CU171" i="7" s="1"/>
  <c r="CA171" i="7"/>
  <c r="CA124" i="7"/>
  <c r="CC197" i="7"/>
  <c r="CF197" i="7" s="1"/>
  <c r="CP197" i="7" s="1"/>
  <c r="CU197" i="7" s="1"/>
  <c r="CA197" i="7"/>
  <c r="DD197" i="7" s="1"/>
  <c r="CA143" i="7"/>
  <c r="AY107" i="7"/>
  <c r="AO167" i="7"/>
  <c r="BP167" i="7"/>
  <c r="AP167" i="7"/>
  <c r="CJ167" i="7" s="1"/>
  <c r="BS178" i="7"/>
  <c r="AW178" i="7"/>
  <c r="CG101" i="7"/>
  <c r="CQ101" i="7" s="1"/>
  <c r="AX101" i="7"/>
  <c r="AY108" i="7"/>
  <c r="CG107" i="7"/>
  <c r="CQ107" i="7" s="1"/>
  <c r="AX107" i="7"/>
  <c r="BW107" i="7"/>
  <c r="AG102" i="7"/>
  <c r="CI177" i="7"/>
  <c r="CJ177" i="7" s="1"/>
  <c r="CH106" i="7"/>
  <c r="CG106" i="7"/>
  <c r="CQ106" i="7" s="1"/>
  <c r="CI102" i="7"/>
  <c r="CJ102" i="7" s="1"/>
  <c r="BW177" i="7"/>
  <c r="CC117" i="7"/>
  <c r="CF117" i="7" s="1"/>
  <c r="CP117" i="7" s="1"/>
  <c r="CU117" i="7" s="1"/>
  <c r="CC130" i="7"/>
  <c r="CF130" i="7" s="1"/>
  <c r="CP130" i="7" s="1"/>
  <c r="CU130" i="7" s="1"/>
  <c r="CC136" i="7"/>
  <c r="CF136" i="7" s="1"/>
  <c r="CP136" i="7" s="1"/>
  <c r="CU136" i="7" s="1"/>
  <c r="CC192" i="7"/>
  <c r="CF192" i="7" s="1"/>
  <c r="CP192" i="7" s="1"/>
  <c r="CU192" i="7" s="1"/>
  <c r="CC253" i="7"/>
  <c r="CF253" i="7" s="1"/>
  <c r="CP253" i="7" s="1"/>
  <c r="CU253" i="7" s="1"/>
  <c r="CC238" i="7"/>
  <c r="CF238" i="7" s="1"/>
  <c r="CP238" i="7" s="1"/>
  <c r="CU238" i="7" s="1"/>
  <c r="CC239" i="7"/>
  <c r="CF239" i="7" s="1"/>
  <c r="CP239" i="7" s="1"/>
  <c r="CU239" i="7" s="1"/>
  <c r="CC221" i="7"/>
  <c r="CF221" i="7" s="1"/>
  <c r="CP221" i="7" s="1"/>
  <c r="CU221" i="7" s="1"/>
  <c r="CC255" i="7"/>
  <c r="CF255" i="7" s="1"/>
  <c r="CP255" i="7" s="1"/>
  <c r="CU255" i="7" s="1"/>
  <c r="CC160" i="7"/>
  <c r="CF160" i="7" s="1"/>
  <c r="CP160" i="7" s="1"/>
  <c r="CU160" i="7" s="1"/>
  <c r="CC250" i="7"/>
  <c r="CF250" i="7" s="1"/>
  <c r="CP250" i="7" s="1"/>
  <c r="CU250" i="7" s="1"/>
  <c r="CC236" i="7"/>
  <c r="CF236" i="7" s="1"/>
  <c r="CP236" i="7" s="1"/>
  <c r="CU236" i="7" s="1"/>
  <c r="CC205" i="7"/>
  <c r="CF205" i="7" s="1"/>
  <c r="CP205" i="7" s="1"/>
  <c r="CU205" i="7" s="1"/>
  <c r="CC237" i="7"/>
  <c r="CF237" i="7" s="1"/>
  <c r="CP237" i="7" s="1"/>
  <c r="CU237" i="7" s="1"/>
  <c r="CF172" i="7"/>
  <c r="CP172" i="7" s="1"/>
  <c r="CU172" i="7" s="1"/>
  <c r="CC186" i="7"/>
  <c r="CF186" i="7" s="1"/>
  <c r="CP186" i="7" s="1"/>
  <c r="CU186" i="7" s="1"/>
  <c r="CC220" i="7"/>
  <c r="CF220" i="7" s="1"/>
  <c r="CP220" i="7" s="1"/>
  <c r="CU220" i="7" s="1"/>
  <c r="CC254" i="7"/>
  <c r="CF254" i="7" s="1"/>
  <c r="CP254" i="7" s="1"/>
  <c r="CU254" i="7" s="1"/>
  <c r="CC235" i="7"/>
  <c r="CF235" i="7" s="1"/>
  <c r="CP235" i="7" s="1"/>
  <c r="CU235" i="7" s="1"/>
  <c r="CC129" i="7"/>
  <c r="CF129" i="7" s="1"/>
  <c r="CP129" i="7" s="1"/>
  <c r="CU129" i="7" s="1"/>
  <c r="CC190" i="7"/>
  <c r="CF190" i="7" s="1"/>
  <c r="CP190" i="7" s="1"/>
  <c r="CU190" i="7" s="1"/>
  <c r="CC228" i="7"/>
  <c r="CF228" i="7" s="1"/>
  <c r="CP228" i="7" s="1"/>
  <c r="CU228" i="7" s="1"/>
  <c r="CF137" i="7"/>
  <c r="CP137" i="7" s="1"/>
  <c r="CU137" i="7" s="1"/>
  <c r="CC247" i="7"/>
  <c r="CF247" i="7" s="1"/>
  <c r="CP247" i="7" s="1"/>
  <c r="CU247" i="7" s="1"/>
  <c r="CC143" i="7"/>
  <c r="CF143" i="7" s="1"/>
  <c r="CP143" i="7" s="1"/>
  <c r="CU143" i="7" s="1"/>
  <c r="CC215" i="7"/>
  <c r="CF215" i="7" s="1"/>
  <c r="CP215" i="7" s="1"/>
  <c r="CU215" i="7" s="1"/>
  <c r="CC149" i="7"/>
  <c r="CF149" i="7" s="1"/>
  <c r="CP149" i="7" s="1"/>
  <c r="CU149" i="7" s="1"/>
  <c r="CC258" i="7"/>
  <c r="CF258" i="7" s="1"/>
  <c r="CP258" i="7" s="1"/>
  <c r="CU258" i="7" s="1"/>
  <c r="CC128" i="7"/>
  <c r="CF128" i="7" s="1"/>
  <c r="CP128" i="7" s="1"/>
  <c r="CU128" i="7" s="1"/>
  <c r="CC125" i="7"/>
  <c r="CF125" i="7" s="1"/>
  <c r="CP125" i="7" s="1"/>
  <c r="CU125" i="7" s="1"/>
  <c r="CC206" i="7"/>
  <c r="CF206" i="7" s="1"/>
  <c r="CP206" i="7" s="1"/>
  <c r="CU206" i="7" s="1"/>
  <c r="CC204" i="7"/>
  <c r="CF204" i="7" s="1"/>
  <c r="CP204" i="7" s="1"/>
  <c r="CU204" i="7" s="1"/>
  <c r="CC118" i="7"/>
  <c r="CF118" i="7" s="1"/>
  <c r="CP118" i="7" s="1"/>
  <c r="CU118" i="7" s="1"/>
  <c r="CC146" i="7"/>
  <c r="CF146" i="7" s="1"/>
  <c r="CP146" i="7" s="1"/>
  <c r="CU146" i="7" s="1"/>
  <c r="CC142" i="7"/>
  <c r="CF142" i="7" s="1"/>
  <c r="CP142" i="7" s="1"/>
  <c r="CU142" i="7" s="1"/>
  <c r="CC249" i="7"/>
  <c r="CF249" i="7" s="1"/>
  <c r="CP249" i="7" s="1"/>
  <c r="CU249" i="7" s="1"/>
  <c r="CC203" i="7"/>
  <c r="CF203" i="7" s="1"/>
  <c r="CP203" i="7" s="1"/>
  <c r="CU203" i="7" s="1"/>
  <c r="CC185" i="7"/>
  <c r="CF185" i="7" s="1"/>
  <c r="CP185" i="7" s="1"/>
  <c r="CU185" i="7" s="1"/>
  <c r="CC256" i="7"/>
  <c r="CF256" i="7" s="1"/>
  <c r="CP256" i="7" s="1"/>
  <c r="CU256" i="7" s="1"/>
  <c r="CC251" i="7"/>
  <c r="CF251" i="7" s="1"/>
  <c r="CP251" i="7" s="1"/>
  <c r="CU251" i="7" s="1"/>
  <c r="CC144" i="7"/>
  <c r="CF144" i="7" s="1"/>
  <c r="CP144" i="7" s="1"/>
  <c r="CU144" i="7" s="1"/>
  <c r="CC216" i="7"/>
  <c r="CF216" i="7" s="1"/>
  <c r="CP216" i="7" s="1"/>
  <c r="CU216" i="7" s="1"/>
  <c r="CC135" i="7"/>
  <c r="CF135" i="7" s="1"/>
  <c r="CP135" i="7" s="1"/>
  <c r="CU135" i="7" s="1"/>
  <c r="CC262" i="7"/>
  <c r="CF262" i="7" s="1"/>
  <c r="CP262" i="7" s="1"/>
  <c r="CU262" i="7" s="1"/>
  <c r="CC188" i="7"/>
  <c r="CF188" i="7" s="1"/>
  <c r="CP188" i="7" s="1"/>
  <c r="CU188" i="7" s="1"/>
  <c r="CC170" i="7"/>
  <c r="CF170" i="7" s="1"/>
  <c r="CP170" i="7" s="1"/>
  <c r="CU170" i="7" s="1"/>
  <c r="CC148" i="7"/>
  <c r="CF148" i="7" s="1"/>
  <c r="CP148" i="7" s="1"/>
  <c r="CU148" i="7" s="1"/>
  <c r="CC195" i="7"/>
  <c r="CF195" i="7" s="1"/>
  <c r="CP195" i="7" s="1"/>
  <c r="CU195" i="7" s="1"/>
  <c r="CC222" i="7"/>
  <c r="CF222" i="7" s="1"/>
  <c r="CP222" i="7" s="1"/>
  <c r="CU222" i="7" s="1"/>
  <c r="CC191" i="7"/>
  <c r="CF191" i="7" s="1"/>
  <c r="CP191" i="7" s="1"/>
  <c r="CU191" i="7" s="1"/>
  <c r="CC139" i="7"/>
  <c r="CF139" i="7" s="1"/>
  <c r="CP139" i="7" s="1"/>
  <c r="CU139" i="7" s="1"/>
  <c r="CC133" i="7"/>
  <c r="CF133" i="7" s="1"/>
  <c r="CP133" i="7" s="1"/>
  <c r="CU133" i="7" s="1"/>
  <c r="CC226" i="7"/>
  <c r="CF226" i="7" s="1"/>
  <c r="CP226" i="7" s="1"/>
  <c r="CU226" i="7" s="1"/>
  <c r="CC225" i="7"/>
  <c r="CF225" i="7" s="1"/>
  <c r="CP225" i="7" s="1"/>
  <c r="CU225" i="7" s="1"/>
  <c r="CC140" i="7"/>
  <c r="CF140" i="7" s="1"/>
  <c r="CP140" i="7" s="1"/>
  <c r="CU140" i="7" s="1"/>
  <c r="CC252" i="7"/>
  <c r="CF252" i="7" s="1"/>
  <c r="CP252" i="7" s="1"/>
  <c r="CU252" i="7" s="1"/>
  <c r="CC181" i="7"/>
  <c r="CF181" i="7" s="1"/>
  <c r="CP181" i="7" s="1"/>
  <c r="CU181" i="7" s="1"/>
  <c r="CC202" i="7"/>
  <c r="CF202" i="7" s="1"/>
  <c r="CP202" i="7" s="1"/>
  <c r="CU202" i="7" s="1"/>
  <c r="CC227" i="7"/>
  <c r="CF227" i="7" s="1"/>
  <c r="CP227" i="7" s="1"/>
  <c r="CU227" i="7" s="1"/>
  <c r="CC193" i="7"/>
  <c r="CF193" i="7" s="1"/>
  <c r="CP193" i="7" s="1"/>
  <c r="CU193" i="7" s="1"/>
  <c r="CC194" i="7"/>
  <c r="CF194" i="7" s="1"/>
  <c r="CP194" i="7" s="1"/>
  <c r="CU194" i="7" s="1"/>
  <c r="CC132" i="7"/>
  <c r="CF132" i="7" s="1"/>
  <c r="CP132" i="7" s="1"/>
  <c r="CU132" i="7" s="1"/>
  <c r="CC214" i="7"/>
  <c r="CF214" i="7" s="1"/>
  <c r="CP214" i="7" s="1"/>
  <c r="CU214" i="7" s="1"/>
  <c r="CC259" i="7"/>
  <c r="CF259" i="7" s="1"/>
  <c r="CP259" i="7" s="1"/>
  <c r="CU259" i="7" s="1"/>
  <c r="CC219" i="7"/>
  <c r="CF219" i="7" s="1"/>
  <c r="CP219" i="7" s="1"/>
  <c r="CU219" i="7" s="1"/>
  <c r="CC248" i="7"/>
  <c r="CF248" i="7" s="1"/>
  <c r="CP248" i="7" s="1"/>
  <c r="CU248" i="7" s="1"/>
  <c r="CC223" i="7"/>
  <c r="CF223" i="7" s="1"/>
  <c r="CP223" i="7" s="1"/>
  <c r="CU223" i="7" s="1"/>
  <c r="CC150" i="7"/>
  <c r="CF150" i="7" s="1"/>
  <c r="CP150" i="7" s="1"/>
  <c r="CU150" i="7" s="1"/>
  <c r="CC189" i="7"/>
  <c r="CF189" i="7" s="1"/>
  <c r="CP189" i="7" s="1"/>
  <c r="CU189" i="7" s="1"/>
  <c r="CC134" i="7"/>
  <c r="CF134" i="7" s="1"/>
  <c r="CP134" i="7" s="1"/>
  <c r="CU134" i="7" s="1"/>
  <c r="CC180" i="7"/>
  <c r="CF180" i="7" s="1"/>
  <c r="CP180" i="7" s="1"/>
  <c r="CU180" i="7" s="1"/>
  <c r="CC224" i="7"/>
  <c r="CF224" i="7" s="1"/>
  <c r="CP224" i="7" s="1"/>
  <c r="CU224" i="7" s="1"/>
  <c r="CC147" i="7"/>
  <c r="CF147" i="7" s="1"/>
  <c r="CP147" i="7" s="1"/>
  <c r="CU147" i="7" s="1"/>
  <c r="CC131" i="7"/>
  <c r="CF131" i="7" s="1"/>
  <c r="CP131" i="7" s="1"/>
  <c r="CU131" i="7" s="1"/>
  <c r="CC246" i="7"/>
  <c r="CF246" i="7" s="1"/>
  <c r="CP246" i="7" s="1"/>
  <c r="CU246" i="7" s="1"/>
  <c r="BX163" i="7"/>
  <c r="CA163" i="7" s="1"/>
  <c r="CM163" i="7"/>
  <c r="CR163" i="7" s="1"/>
  <c r="BY198" i="7"/>
  <c r="CD198" i="7" s="1"/>
  <c r="CN198" i="7"/>
  <c r="CS198" i="7" s="1"/>
  <c r="BZ244" i="7"/>
  <c r="CO244" i="7"/>
  <c r="CT244" i="7" s="1"/>
  <c r="BZ111" i="7"/>
  <c r="CQ111" i="7"/>
  <c r="CC217" i="7"/>
  <c r="CF217" i="7" s="1"/>
  <c r="CP217" i="7" s="1"/>
  <c r="CU217" i="7" s="1"/>
  <c r="CC187" i="7"/>
  <c r="CF187" i="7" s="1"/>
  <c r="CP187" i="7" s="1"/>
  <c r="CU187" i="7" s="1"/>
  <c r="CC218" i="7"/>
  <c r="CF218" i="7" s="1"/>
  <c r="CP218" i="7" s="1"/>
  <c r="CU218" i="7" s="1"/>
  <c r="CC141" i="7"/>
  <c r="CF141" i="7" s="1"/>
  <c r="CP141" i="7" s="1"/>
  <c r="CU141" i="7" s="1"/>
  <c r="CC161" i="7"/>
  <c r="CF161" i="7" s="1"/>
  <c r="CP161" i="7" s="1"/>
  <c r="CU161" i="7" s="1"/>
  <c r="BX242" i="7"/>
  <c r="CA242" i="7" s="1"/>
  <c r="CM242" i="7"/>
  <c r="CR242" i="7" s="1"/>
  <c r="BZ211" i="7"/>
  <c r="CO211" i="7"/>
  <c r="CT211" i="7" s="1"/>
  <c r="BZ112" i="7"/>
  <c r="CQ112" i="7"/>
  <c r="CC157" i="7"/>
  <c r="CF157" i="7" s="1"/>
  <c r="CP157" i="7" s="1"/>
  <c r="CU157" i="7" s="1"/>
  <c r="CC213" i="7"/>
  <c r="CF213" i="7" s="1"/>
  <c r="CP213" i="7" s="1"/>
  <c r="CU213" i="7" s="1"/>
  <c r="CC159" i="7"/>
  <c r="CF159" i="7" s="1"/>
  <c r="CP159" i="7" s="1"/>
  <c r="CU159" i="7" s="1"/>
  <c r="CC229" i="7"/>
  <c r="CF229" i="7" s="1"/>
  <c r="CP229" i="7" s="1"/>
  <c r="CU229" i="7" s="1"/>
  <c r="BZ233" i="7"/>
  <c r="CO233" i="7"/>
  <c r="CT233" i="7" s="1"/>
  <c r="BY153" i="7"/>
  <c r="CD153" i="7" s="1"/>
  <c r="CN153" i="7"/>
  <c r="CS153" i="7" s="1"/>
  <c r="BX173" i="7"/>
  <c r="CM173" i="7"/>
  <c r="CR173" i="7" s="1"/>
  <c r="BX209" i="7"/>
  <c r="CA209" i="7" s="1"/>
  <c r="CM209" i="7"/>
  <c r="CR209" i="7" s="1"/>
  <c r="BY173" i="7"/>
  <c r="CD173" i="7" s="1"/>
  <c r="CN173" i="7"/>
  <c r="CS173" i="7" s="1"/>
  <c r="BZ110" i="7"/>
  <c r="CQ110" i="7"/>
  <c r="CC184" i="7"/>
  <c r="CF184" i="7" s="1"/>
  <c r="CP184" i="7" s="1"/>
  <c r="CU184" i="7" s="1"/>
  <c r="CC263" i="7"/>
  <c r="CF263" i="7" s="1"/>
  <c r="CP263" i="7" s="1"/>
  <c r="CU263" i="7" s="1"/>
  <c r="BZ154" i="7"/>
  <c r="CO154" i="7"/>
  <c r="CT154" i="7" s="1"/>
  <c r="BY232" i="7"/>
  <c r="CD232" i="7" s="1"/>
  <c r="CN232" i="7"/>
  <c r="CS232" i="7" s="1"/>
  <c r="CQ108" i="7"/>
  <c r="BZ174" i="7"/>
  <c r="CO174" i="7"/>
  <c r="CT174" i="7" s="1"/>
  <c r="BZ109" i="7"/>
  <c r="CQ109" i="7"/>
  <c r="BZ103" i="7"/>
  <c r="CQ103" i="7"/>
  <c r="CQ104" i="7"/>
  <c r="BZ199" i="7"/>
  <c r="CO199" i="7"/>
  <c r="CT199" i="7" s="1"/>
  <c r="BZ165" i="7"/>
  <c r="CO165" i="7"/>
  <c r="CT165" i="7" s="1"/>
  <c r="BX198" i="7"/>
  <c r="CM198" i="7"/>
  <c r="CR198" i="7" s="1"/>
  <c r="CC257" i="7"/>
  <c r="CF257" i="7" s="1"/>
  <c r="CP257" i="7" s="1"/>
  <c r="CU257" i="7" s="1"/>
  <c r="CC126" i="7"/>
  <c r="CF126" i="7" s="1"/>
  <c r="CP126" i="7" s="1"/>
  <c r="CU126" i="7" s="1"/>
  <c r="CC127" i="7"/>
  <c r="CF127" i="7" s="1"/>
  <c r="CP127" i="7" s="1"/>
  <c r="CU127" i="7" s="1"/>
  <c r="C166" i="7"/>
  <c r="C212" i="7"/>
  <c r="C177" i="7"/>
  <c r="C245" i="7"/>
  <c r="CD241" i="7"/>
  <c r="CB232" i="7"/>
  <c r="CD208" i="7"/>
  <c r="CB198" i="7"/>
  <c r="CD162" i="7"/>
  <c r="CB173" i="7"/>
  <c r="CB153" i="7"/>
  <c r="DE135" i="7"/>
  <c r="DD135" i="7"/>
  <c r="CD121" i="7"/>
  <c r="DC121" i="7"/>
  <c r="DD126" i="7"/>
  <c r="DE126" i="7"/>
  <c r="DE125" i="7"/>
  <c r="DD125" i="7"/>
  <c r="DE133" i="7"/>
  <c r="DD133" i="7"/>
  <c r="DD134" i="7"/>
  <c r="DE134" i="7"/>
  <c r="DE117" i="7"/>
  <c r="DD117" i="7"/>
  <c r="DE130" i="7"/>
  <c r="DD130" i="7"/>
  <c r="DD131" i="7"/>
  <c r="DE131" i="7"/>
  <c r="DE132" i="7"/>
  <c r="DD132" i="7"/>
  <c r="DE118" i="7"/>
  <c r="DD118" i="7"/>
  <c r="DE136" i="7"/>
  <c r="DD136" i="7"/>
  <c r="DE128" i="7"/>
  <c r="DD128" i="7"/>
  <c r="DE129" i="7"/>
  <c r="DD129" i="7"/>
  <c r="DD127" i="7"/>
  <c r="DE127" i="7"/>
  <c r="CF122" i="7"/>
  <c r="CP122" i="7" s="1"/>
  <c r="CU122" i="7" s="1"/>
  <c r="CF124" i="7"/>
  <c r="CP124" i="7" s="1"/>
  <c r="CU124" i="7" s="1"/>
  <c r="CF114" i="7"/>
  <c r="CP114" i="7" s="1"/>
  <c r="CU114" i="7" s="1"/>
  <c r="CF115" i="7"/>
  <c r="CP115" i="7" s="1"/>
  <c r="CU115" i="7" s="1"/>
  <c r="CE198" i="7"/>
  <c r="CE153" i="7"/>
  <c r="CC162" i="7"/>
  <c r="CE162" i="7"/>
  <c r="CC208" i="7"/>
  <c r="CE208" i="7"/>
  <c r="CC241" i="7"/>
  <c r="CE241" i="7"/>
  <c r="CE232" i="7"/>
  <c r="CC121" i="7"/>
  <c r="CE121" i="7"/>
  <c r="CE173" i="7"/>
  <c r="CC240" i="7"/>
  <c r="CF240" i="7" s="1"/>
  <c r="CP240" i="7" s="1"/>
  <c r="CU240" i="7" s="1"/>
  <c r="CC123" i="7"/>
  <c r="CF123" i="7" s="1"/>
  <c r="CP123" i="7" s="1"/>
  <c r="CU123" i="7" s="1"/>
  <c r="CC207" i="7"/>
  <c r="CF207" i="7" s="1"/>
  <c r="CP207" i="7" s="1"/>
  <c r="CU207" i="7" s="1"/>
  <c r="BW111" i="7"/>
  <c r="BY111" i="7"/>
  <c r="BY110" i="7"/>
  <c r="BY104" i="7"/>
  <c r="BZ104" i="7"/>
  <c r="BX153" i="7"/>
  <c r="BW110" i="7"/>
  <c r="BY109" i="7"/>
  <c r="AX108" i="7"/>
  <c r="BX232" i="7"/>
  <c r="BW103" i="7"/>
  <c r="BW108" i="7"/>
  <c r="BY103" i="7"/>
  <c r="BW109" i="7"/>
  <c r="BW104" i="7"/>
  <c r="BY112" i="7"/>
  <c r="BW112" i="7"/>
  <c r="BV174" i="7"/>
  <c r="BV233" i="7"/>
  <c r="CM233" i="7" s="1"/>
  <c r="CR233" i="7" s="1"/>
  <c r="AG105" i="7"/>
  <c r="CG105" i="7" s="1"/>
  <c r="BV199" i="7"/>
  <c r="CM199" i="7" s="1"/>
  <c r="CR199" i="7" s="1"/>
  <c r="BV154" i="7"/>
  <c r="BW166" i="7"/>
  <c r="BY166" i="7"/>
  <c r="BW212" i="7"/>
  <c r="BY212" i="7"/>
  <c r="BW245" i="7"/>
  <c r="BY245" i="7"/>
  <c r="CB208" i="7"/>
  <c r="CB241" i="7"/>
  <c r="CB162" i="7"/>
  <c r="CB121" i="7"/>
  <c r="BB163" i="7"/>
  <c r="CI101" i="7"/>
  <c r="BT211" i="7"/>
  <c r="BU211" i="7"/>
  <c r="BQ212" i="7"/>
  <c r="BR212" i="7"/>
  <c r="BT244" i="7"/>
  <c r="BU244" i="7"/>
  <c r="BQ166" i="7"/>
  <c r="BR166" i="7"/>
  <c r="BR245" i="7"/>
  <c r="BQ245" i="7"/>
  <c r="BT165" i="7"/>
  <c r="BU165" i="7"/>
  <c r="BO233" i="7"/>
  <c r="BO199" i="7"/>
  <c r="BO174" i="7"/>
  <c r="BL175" i="7"/>
  <c r="BN175" i="7"/>
  <c r="BM175" i="7"/>
  <c r="BR175" i="7"/>
  <c r="BQ175" i="7"/>
  <c r="BL200" i="7"/>
  <c r="BN200" i="7"/>
  <c r="BM200" i="7"/>
  <c r="BL234" i="7"/>
  <c r="BN234" i="7"/>
  <c r="BM234" i="7"/>
  <c r="BU175" i="7"/>
  <c r="BT175" i="7"/>
  <c r="BQ107" i="7"/>
  <c r="BR107" i="7"/>
  <c r="BR234" i="7"/>
  <c r="BQ234" i="7"/>
  <c r="BT155" i="7"/>
  <c r="BU155" i="7"/>
  <c r="BT107" i="7"/>
  <c r="BU107" i="7"/>
  <c r="BT234" i="7"/>
  <c r="BU234" i="7"/>
  <c r="BL155" i="7"/>
  <c r="BN155" i="7"/>
  <c r="BM155" i="7"/>
  <c r="BO154" i="7"/>
  <c r="BU108" i="7"/>
  <c r="BV108" i="7" s="1"/>
  <c r="BT108" i="7"/>
  <c r="BM107" i="7"/>
  <c r="BL107" i="7"/>
  <c r="BN107" i="7"/>
  <c r="BR200" i="7"/>
  <c r="BQ200" i="7"/>
  <c r="BQ155" i="7"/>
  <c r="BR155" i="7"/>
  <c r="BM108" i="7"/>
  <c r="BL108" i="7"/>
  <c r="BN108" i="7"/>
  <c r="BT200" i="7"/>
  <c r="BU200" i="7"/>
  <c r="BQ108" i="7"/>
  <c r="BR108" i="7"/>
  <c r="CH178" i="7"/>
  <c r="BB242" i="7"/>
  <c r="BA234" i="7"/>
  <c r="BB233" i="7"/>
  <c r="AZ244" i="7"/>
  <c r="BA243" i="7"/>
  <c r="AY245" i="7"/>
  <c r="BV243" i="7"/>
  <c r="BV210" i="7"/>
  <c r="BB209" i="7"/>
  <c r="BA200" i="7"/>
  <c r="BA210" i="7"/>
  <c r="BB199" i="7"/>
  <c r="AY212" i="7"/>
  <c r="AZ211" i="7"/>
  <c r="AZ201" i="7"/>
  <c r="F167" i="7"/>
  <c r="F178" i="7"/>
  <c r="AZ156" i="7"/>
  <c r="BB154" i="7"/>
  <c r="BA155" i="7"/>
  <c r="AY166" i="7"/>
  <c r="BB174" i="7"/>
  <c r="BV164" i="7"/>
  <c r="AZ165" i="7"/>
  <c r="AY177" i="7"/>
  <c r="BA164" i="7"/>
  <c r="BA175" i="7"/>
  <c r="BB175" i="7" s="1"/>
  <c r="AZ176" i="7"/>
  <c r="T179" i="7"/>
  <c r="BA158" i="7"/>
  <c r="AZ169" i="7"/>
  <c r="BV158" i="7"/>
  <c r="AY102" i="7"/>
  <c r="DF225" i="7" l="1"/>
  <c r="DF254" i="7"/>
  <c r="DF223" i="7"/>
  <c r="DF189" i="7"/>
  <c r="DF219" i="7"/>
  <c r="DF194" i="7"/>
  <c r="DF255" i="7"/>
  <c r="DF185" i="7"/>
  <c r="DF205" i="7"/>
  <c r="DF206" i="7"/>
  <c r="DF258" i="7"/>
  <c r="DF159" i="7"/>
  <c r="DF220" i="7"/>
  <c r="DF247" i="7"/>
  <c r="DF213" i="7"/>
  <c r="DF227" i="7"/>
  <c r="DF259" i="7"/>
  <c r="DF191" i="7"/>
  <c r="DF236" i="7"/>
  <c r="DF193" i="7"/>
  <c r="DF256" i="7"/>
  <c r="DF263" i="7"/>
  <c r="DF217" i="7"/>
  <c r="DF215" i="7"/>
  <c r="DF228" i="7"/>
  <c r="DF148" i="7"/>
  <c r="DF141" i="7"/>
  <c r="DD143" i="7"/>
  <c r="DE143" i="7"/>
  <c r="DE145" i="7"/>
  <c r="DD145" i="7"/>
  <c r="DF190" i="7"/>
  <c r="DF180" i="7"/>
  <c r="DF188" i="7"/>
  <c r="DF192" i="7"/>
  <c r="DF184" i="7"/>
  <c r="DF146" i="7"/>
  <c r="DF237" i="7"/>
  <c r="DF222" i="7"/>
  <c r="DF202" i="7"/>
  <c r="DF144" i="7"/>
  <c r="DF249" i="7"/>
  <c r="DF142" i="7"/>
  <c r="DF186" i="7"/>
  <c r="DF246" i="7"/>
  <c r="DE168" i="7"/>
  <c r="DD168" i="7"/>
  <c r="DE230" i="7"/>
  <c r="DD230" i="7"/>
  <c r="DF140" i="7"/>
  <c r="DF181" i="7"/>
  <c r="DF150" i="7"/>
  <c r="DD231" i="7"/>
  <c r="DF231" i="7" s="1"/>
  <c r="DF157" i="7"/>
  <c r="DF252" i="7"/>
  <c r="DF203" i="7"/>
  <c r="DF238" i="7"/>
  <c r="DF147" i="7"/>
  <c r="DF195" i="7"/>
  <c r="DF216" i="7"/>
  <c r="DF149" i="7"/>
  <c r="DE241" i="7"/>
  <c r="DD241" i="7"/>
  <c r="DF218" i="7"/>
  <c r="DF229" i="7"/>
  <c r="DE152" i="7"/>
  <c r="DD152" i="7"/>
  <c r="CK199" i="7"/>
  <c r="DC199" i="7"/>
  <c r="CK175" i="7"/>
  <c r="DC175" i="7"/>
  <c r="CK154" i="7"/>
  <c r="DC154" i="7"/>
  <c r="CK233" i="7"/>
  <c r="DC233" i="7"/>
  <c r="CK163" i="7"/>
  <c r="DC163" i="7"/>
  <c r="DE171" i="7"/>
  <c r="DD171" i="7"/>
  <c r="DE196" i="7"/>
  <c r="DD196" i="7"/>
  <c r="DE162" i="7"/>
  <c r="DD162" i="7"/>
  <c r="DE197" i="7"/>
  <c r="DF197" i="7" s="1"/>
  <c r="CK174" i="7"/>
  <c r="DC174" i="7"/>
  <c r="DF253" i="7"/>
  <c r="DF257" i="7"/>
  <c r="DF224" i="7"/>
  <c r="CK209" i="7"/>
  <c r="DC209" i="7"/>
  <c r="CK242" i="7"/>
  <c r="DC242" i="7"/>
  <c r="DE172" i="7"/>
  <c r="DD172" i="7"/>
  <c r="DD151" i="7"/>
  <c r="DE151" i="7"/>
  <c r="DF226" i="7"/>
  <c r="DF139" i="7"/>
  <c r="DF161" i="7"/>
  <c r="DF160" i="7"/>
  <c r="DF204" i="7"/>
  <c r="DF214" i="7"/>
  <c r="DF251" i="7"/>
  <c r="DF187" i="7"/>
  <c r="DF170" i="7"/>
  <c r="DF262" i="7"/>
  <c r="DE208" i="7"/>
  <c r="DD208" i="7"/>
  <c r="DF248" i="7"/>
  <c r="DF239" i="7"/>
  <c r="DF235" i="7"/>
  <c r="DF250" i="7"/>
  <c r="DF221" i="7"/>
  <c r="DE138" i="7"/>
  <c r="DD138" i="7"/>
  <c r="DE137" i="7"/>
  <c r="DD137" i="7"/>
  <c r="CC153" i="7"/>
  <c r="CF153" i="7" s="1"/>
  <c r="CP153" i="7" s="1"/>
  <c r="CU153" i="7" s="1"/>
  <c r="CA153" i="7"/>
  <c r="DE153" i="7" s="1"/>
  <c r="CC232" i="7"/>
  <c r="CF232" i="7" s="1"/>
  <c r="CP232" i="7" s="1"/>
  <c r="CU232" i="7" s="1"/>
  <c r="CA232" i="7"/>
  <c r="DE232" i="7" s="1"/>
  <c r="CC173" i="7"/>
  <c r="CF173" i="7" s="1"/>
  <c r="CP173" i="7" s="1"/>
  <c r="CU173" i="7" s="1"/>
  <c r="CA173" i="7"/>
  <c r="DD173" i="7" s="1"/>
  <c r="CC198" i="7"/>
  <c r="CF198" i="7" s="1"/>
  <c r="CP198" i="7" s="1"/>
  <c r="CU198" i="7" s="1"/>
  <c r="CA198" i="7"/>
  <c r="DE198" i="7" s="1"/>
  <c r="AZ107" i="7"/>
  <c r="BS179" i="7"/>
  <c r="AW179" i="7"/>
  <c r="AZ108" i="7"/>
  <c r="BA108" i="7" s="1"/>
  <c r="BB108" i="7" s="1"/>
  <c r="DC108" i="7" s="1"/>
  <c r="CG102" i="7"/>
  <c r="CQ102" i="7" s="1"/>
  <c r="BW102" i="7"/>
  <c r="CI178" i="7"/>
  <c r="CJ178" i="7" s="1"/>
  <c r="CJ101" i="7"/>
  <c r="I11" i="23" s="1"/>
  <c r="CI106" i="7"/>
  <c r="CJ106" i="7" s="1"/>
  <c r="BW178" i="7"/>
  <c r="CW161" i="7"/>
  <c r="CV161" i="7"/>
  <c r="CY161" i="7"/>
  <c r="F47" i="23"/>
  <c r="CX161" i="7"/>
  <c r="F44" i="23"/>
  <c r="F45" i="23"/>
  <c r="DE120" i="7"/>
  <c r="G11" i="23"/>
  <c r="H11" i="23"/>
  <c r="DE116" i="7"/>
  <c r="BZ234" i="7"/>
  <c r="CO234" i="7"/>
  <c r="CT234" i="7" s="1"/>
  <c r="BY174" i="7"/>
  <c r="CD174" i="7" s="1"/>
  <c r="CN174" i="7"/>
  <c r="CS174" i="7" s="1"/>
  <c r="BX154" i="7"/>
  <c r="CM154" i="7"/>
  <c r="CR154" i="7" s="1"/>
  <c r="DE119" i="7"/>
  <c r="BZ155" i="7"/>
  <c r="CO155" i="7"/>
  <c r="CT155" i="7" s="1"/>
  <c r="BY154" i="7"/>
  <c r="CD154" i="7" s="1"/>
  <c r="CN154" i="7"/>
  <c r="CS154" i="7" s="1"/>
  <c r="BZ107" i="7"/>
  <c r="CO107" i="7"/>
  <c r="CT107" i="7" s="1"/>
  <c r="BY199" i="7"/>
  <c r="CD199" i="7" s="1"/>
  <c r="CN199" i="7"/>
  <c r="CS199" i="7" s="1"/>
  <c r="BX158" i="7"/>
  <c r="CA158" i="7" s="1"/>
  <c r="CM158" i="7"/>
  <c r="CR158" i="7" s="1"/>
  <c r="BX210" i="7"/>
  <c r="CA210" i="7" s="1"/>
  <c r="CM210" i="7"/>
  <c r="CR210" i="7" s="1"/>
  <c r="BY233" i="7"/>
  <c r="CD233" i="7" s="1"/>
  <c r="CN233" i="7"/>
  <c r="CS233" i="7" s="1"/>
  <c r="BZ105" i="7"/>
  <c r="BZ108" i="7"/>
  <c r="CO108" i="7"/>
  <c r="CT108" i="7" s="1"/>
  <c r="BX164" i="7"/>
  <c r="CA164" i="7" s="1"/>
  <c r="CM164" i="7"/>
  <c r="CR164" i="7" s="1"/>
  <c r="BX243" i="7"/>
  <c r="CA243" i="7" s="1"/>
  <c r="CM243" i="7"/>
  <c r="CR243" i="7" s="1"/>
  <c r="BX108" i="7"/>
  <c r="CM108" i="7"/>
  <c r="CR108" i="7" s="1"/>
  <c r="BZ175" i="7"/>
  <c r="CE175" i="7" s="1"/>
  <c r="CO175" i="7"/>
  <c r="CT175" i="7" s="1"/>
  <c r="BX174" i="7"/>
  <c r="CM174" i="7"/>
  <c r="CR174" i="7" s="1"/>
  <c r="BZ212" i="7"/>
  <c r="CO212" i="7"/>
  <c r="CT212" i="7" s="1"/>
  <c r="BZ113" i="7"/>
  <c r="CT113" i="7"/>
  <c r="BZ245" i="7"/>
  <c r="CO245" i="7"/>
  <c r="CT245" i="7" s="1"/>
  <c r="BZ200" i="7"/>
  <c r="CO200" i="7"/>
  <c r="CT200" i="7" s="1"/>
  <c r="BZ166" i="7"/>
  <c r="CO166" i="7"/>
  <c r="CT166" i="7" s="1"/>
  <c r="C178" i="7"/>
  <c r="C167" i="7"/>
  <c r="CD242" i="7"/>
  <c r="CB233" i="7"/>
  <c r="CD209" i="7"/>
  <c r="CB199" i="7"/>
  <c r="CB175" i="7"/>
  <c r="CD163" i="7"/>
  <c r="CB154" i="7"/>
  <c r="CB174" i="7"/>
  <c r="DD115" i="7"/>
  <c r="DD122" i="7"/>
  <c r="DE121" i="7"/>
  <c r="DD121" i="7"/>
  <c r="DD124" i="7"/>
  <c r="DE124" i="7"/>
  <c r="DE123" i="7"/>
  <c r="DD123" i="7"/>
  <c r="DD114" i="7"/>
  <c r="CF121" i="7"/>
  <c r="CF162" i="7"/>
  <c r="CP162" i="7" s="1"/>
  <c r="CU162" i="7" s="1"/>
  <c r="CF241" i="7"/>
  <c r="CP241" i="7" s="1"/>
  <c r="CU241" i="7" s="1"/>
  <c r="CF208" i="7"/>
  <c r="CP208" i="7" s="1"/>
  <c r="CU208" i="7" s="1"/>
  <c r="CC209" i="7"/>
  <c r="CE209" i="7"/>
  <c r="CE174" i="7"/>
  <c r="CE233" i="7"/>
  <c r="CE154" i="7"/>
  <c r="CC163" i="7"/>
  <c r="CE163" i="7"/>
  <c r="CC242" i="7"/>
  <c r="CE242" i="7"/>
  <c r="CE199" i="7"/>
  <c r="BW113" i="7"/>
  <c r="BY113" i="7"/>
  <c r="BX199" i="7"/>
  <c r="BY105" i="7"/>
  <c r="BX233" i="7"/>
  <c r="BW105" i="7"/>
  <c r="BV234" i="7"/>
  <c r="BV107" i="7"/>
  <c r="BV175" i="7"/>
  <c r="BV155" i="7"/>
  <c r="BV200" i="7"/>
  <c r="BW101" i="7"/>
  <c r="BW167" i="7"/>
  <c r="BY167" i="7"/>
  <c r="BW106" i="7"/>
  <c r="CB209" i="7"/>
  <c r="CB163" i="7"/>
  <c r="CB242" i="7"/>
  <c r="AY106" i="7"/>
  <c r="AY101" i="7"/>
  <c r="BU101" i="7" s="1"/>
  <c r="BT166" i="7"/>
  <c r="BU166" i="7"/>
  <c r="BQ167" i="7"/>
  <c r="BR167" i="7"/>
  <c r="BT212" i="7"/>
  <c r="BU212" i="7"/>
  <c r="BU245" i="7"/>
  <c r="BT245" i="7"/>
  <c r="BO200" i="7"/>
  <c r="CN200" i="7" s="1"/>
  <c r="CS200" i="7" s="1"/>
  <c r="BO175" i="7"/>
  <c r="BO155" i="7"/>
  <c r="BO234" i="7"/>
  <c r="BO107" i="7"/>
  <c r="BO108" i="7"/>
  <c r="BU156" i="7"/>
  <c r="BT156" i="7"/>
  <c r="BN156" i="7"/>
  <c r="BM156" i="7"/>
  <c r="BL156" i="7"/>
  <c r="BU176" i="7"/>
  <c r="BT176" i="7"/>
  <c r="BN169" i="7"/>
  <c r="BL169" i="7"/>
  <c r="BM169" i="7"/>
  <c r="BR156" i="7"/>
  <c r="BQ156" i="7"/>
  <c r="BL176" i="7"/>
  <c r="BM176" i="7"/>
  <c r="BN176" i="7"/>
  <c r="BR169" i="7"/>
  <c r="BQ169" i="7"/>
  <c r="BR176" i="7"/>
  <c r="BQ176" i="7"/>
  <c r="BU169" i="7"/>
  <c r="BT169" i="7"/>
  <c r="BR201" i="7"/>
  <c r="BQ201" i="7"/>
  <c r="BU201" i="7"/>
  <c r="BT201" i="7"/>
  <c r="BL201" i="7"/>
  <c r="BM201" i="7"/>
  <c r="BN201" i="7"/>
  <c r="BT101" i="7"/>
  <c r="CY231" i="7"/>
  <c r="CY114" i="7"/>
  <c r="CV124" i="7"/>
  <c r="CW190" i="7"/>
  <c r="CX127" i="7"/>
  <c r="CY115" i="7"/>
  <c r="CW222" i="7"/>
  <c r="CX150" i="7"/>
  <c r="CY132" i="7"/>
  <c r="CY197" i="7"/>
  <c r="CW116" i="7"/>
  <c r="CX256" i="7"/>
  <c r="CW131" i="7"/>
  <c r="CY240" i="7"/>
  <c r="CV217" i="7"/>
  <c r="CV146" i="7"/>
  <c r="CW191" i="7"/>
  <c r="CX172" i="7"/>
  <c r="CV223" i="7"/>
  <c r="CW252" i="7"/>
  <c r="CX122" i="7"/>
  <c r="BR101" i="7"/>
  <c r="CO101" i="7" s="1"/>
  <c r="CX247" i="7"/>
  <c r="CV251" i="7"/>
  <c r="CX147" i="7"/>
  <c r="CV138" i="7"/>
  <c r="CW253" i="7"/>
  <c r="CY229" i="7"/>
  <c r="CW239" i="7"/>
  <c r="CY207" i="7"/>
  <c r="CH179" i="7"/>
  <c r="CV150" i="7"/>
  <c r="CY255" i="7"/>
  <c r="CW150" i="7"/>
  <c r="CX255" i="7"/>
  <c r="CV255" i="7"/>
  <c r="CY125" i="7"/>
  <c r="CW204" i="7"/>
  <c r="CY204" i="7"/>
  <c r="CW125" i="7"/>
  <c r="CX204" i="7"/>
  <c r="CX125" i="7"/>
  <c r="CV157" i="7"/>
  <c r="CX190" i="7"/>
  <c r="CW255" i="7"/>
  <c r="CW157" i="7"/>
  <c r="CX257" i="7"/>
  <c r="CV125" i="7"/>
  <c r="CX126" i="7"/>
  <c r="CV126" i="7"/>
  <c r="CY126" i="7"/>
  <c r="CY152" i="7"/>
  <c r="CX152" i="7"/>
  <c r="CX222" i="7"/>
  <c r="CV227" i="7"/>
  <c r="CY217" i="7"/>
  <c r="CY250" i="7"/>
  <c r="CX253" i="7"/>
  <c r="CX251" i="7"/>
  <c r="CX132" i="7"/>
  <c r="CW217" i="7"/>
  <c r="CY150" i="7"/>
  <c r="CV257" i="7"/>
  <c r="CY251" i="7"/>
  <c r="CW132" i="7"/>
  <c r="CY190" i="7"/>
  <c r="CX157" i="7"/>
  <c r="CW256" i="7"/>
  <c r="CV222" i="7"/>
  <c r="CW257" i="7"/>
  <c r="CW126" i="7"/>
  <c r="CY222" i="7"/>
  <c r="CV132" i="7"/>
  <c r="CY227" i="7"/>
  <c r="CY147" i="7"/>
  <c r="CW231" i="7"/>
  <c r="CX219" i="7"/>
  <c r="CW219" i="7"/>
  <c r="CW227" i="7"/>
  <c r="CW247" i="7"/>
  <c r="CW229" i="7"/>
  <c r="CW124" i="7"/>
  <c r="CW258" i="7"/>
  <c r="CX227" i="7"/>
  <c r="CW114" i="7"/>
  <c r="CV116" i="7"/>
  <c r="CX116" i="7"/>
  <c r="CY116" i="7"/>
  <c r="CV127" i="7"/>
  <c r="CX217" i="7"/>
  <c r="CW146" i="7"/>
  <c r="CW207" i="7"/>
  <c r="CY131" i="7"/>
  <c r="CV219" i="7"/>
  <c r="CY124" i="7"/>
  <c r="CX240" i="7"/>
  <c r="CW240" i="7"/>
  <c r="CX229" i="7"/>
  <c r="CV256" i="7"/>
  <c r="CV254" i="7"/>
  <c r="CV229" i="7"/>
  <c r="CX250" i="7"/>
  <c r="CY258" i="7"/>
  <c r="CX124" i="7"/>
  <c r="CV131" i="7"/>
  <c r="CV152" i="7"/>
  <c r="CY219" i="7"/>
  <c r="CY252" i="7"/>
  <c r="CV147" i="7"/>
  <c r="CV190" i="7"/>
  <c r="CY257" i="7"/>
  <c r="CX258" i="7"/>
  <c r="CY127" i="7"/>
  <c r="CX131" i="7"/>
  <c r="CX231" i="7"/>
  <c r="CY157" i="7"/>
  <c r="CV191" i="7"/>
  <c r="CW251" i="7"/>
  <c r="CV231" i="7"/>
  <c r="CY256" i="7"/>
  <c r="CV197" i="7"/>
  <c r="CV247" i="7"/>
  <c r="CW152" i="7"/>
  <c r="CV252" i="7"/>
  <c r="CY259" i="7"/>
  <c r="CV253" i="7"/>
  <c r="CW223" i="7"/>
  <c r="CX191" i="7"/>
  <c r="CV259" i="7"/>
  <c r="CW197" i="7"/>
  <c r="CX239" i="7"/>
  <c r="CY239" i="7"/>
  <c r="CV239" i="7"/>
  <c r="CY224" i="7"/>
  <c r="CW127" i="7"/>
  <c r="CV115" i="7"/>
  <c r="CY146" i="7"/>
  <c r="CX146" i="7"/>
  <c r="CX207" i="7"/>
  <c r="CW259" i="7"/>
  <c r="CY122" i="7"/>
  <c r="CX259" i="7"/>
  <c r="CX252" i="7"/>
  <c r="CW147" i="7"/>
  <c r="CY223" i="7"/>
  <c r="CV240" i="7"/>
  <c r="CX197" i="7"/>
  <c r="CV122" i="7"/>
  <c r="CW115" i="7"/>
  <c r="CX254" i="7"/>
  <c r="CW122" i="7"/>
  <c r="CY247" i="7"/>
  <c r="CX115" i="7"/>
  <c r="CY253" i="7"/>
  <c r="CY191" i="7"/>
  <c r="CX114" i="7"/>
  <c r="CW250" i="7"/>
  <c r="CV258" i="7"/>
  <c r="CY254" i="7"/>
  <c r="CY138" i="7"/>
  <c r="CW138" i="7"/>
  <c r="CW224" i="7"/>
  <c r="CX223" i="7"/>
  <c r="CX224" i="7"/>
  <c r="CW172" i="7"/>
  <c r="CV172" i="7"/>
  <c r="CY172" i="7"/>
  <c r="CV207" i="7"/>
  <c r="CV114" i="7"/>
  <c r="CV224" i="7"/>
  <c r="CV250" i="7"/>
  <c r="CW254" i="7"/>
  <c r="CV204" i="7"/>
  <c r="CX138" i="7"/>
  <c r="BB234" i="7"/>
  <c r="AZ245" i="7"/>
  <c r="BB243" i="7"/>
  <c r="BV244" i="7"/>
  <c r="BA244" i="7"/>
  <c r="BA211" i="7"/>
  <c r="BA201" i="7"/>
  <c r="BV211" i="7"/>
  <c r="BB210" i="7"/>
  <c r="BB200" i="7"/>
  <c r="AZ212" i="7"/>
  <c r="F179" i="7"/>
  <c r="BB155" i="7"/>
  <c r="BA156" i="7"/>
  <c r="BA176" i="7"/>
  <c r="AZ177" i="7"/>
  <c r="BV165" i="7"/>
  <c r="AZ166" i="7"/>
  <c r="BB164" i="7"/>
  <c r="BA165" i="7"/>
  <c r="AY167" i="7"/>
  <c r="AY178" i="7"/>
  <c r="BA169" i="7"/>
  <c r="BB158" i="7"/>
  <c r="AX102" i="7"/>
  <c r="AZ102" i="7" s="1"/>
  <c r="BA107" i="7"/>
  <c r="DF208" i="7" l="1"/>
  <c r="DE173" i="7"/>
  <c r="DF173" i="7" s="1"/>
  <c r="DF230" i="7"/>
  <c r="DF137" i="7"/>
  <c r="DF172" i="7"/>
  <c r="DF171" i="7"/>
  <c r="DF241" i="7"/>
  <c r="DF162" i="7"/>
  <c r="DF152" i="7"/>
  <c r="DF151" i="7"/>
  <c r="CK200" i="7"/>
  <c r="DC200" i="7"/>
  <c r="CK234" i="7"/>
  <c r="DC234" i="7"/>
  <c r="DD232" i="7"/>
  <c r="DF232" i="7" s="1"/>
  <c r="CK155" i="7"/>
  <c r="DC155" i="7"/>
  <c r="DE209" i="7"/>
  <c r="DD209" i="7"/>
  <c r="DD198" i="7"/>
  <c r="DF198" i="7" s="1"/>
  <c r="CK210" i="7"/>
  <c r="DC210" i="7"/>
  <c r="CK164" i="7"/>
  <c r="DC164" i="7"/>
  <c r="CK243" i="7"/>
  <c r="DC243" i="7"/>
  <c r="DF196" i="7"/>
  <c r="DD153" i="7"/>
  <c r="DF153" i="7" s="1"/>
  <c r="DF145" i="7"/>
  <c r="CK158" i="7"/>
  <c r="DC158" i="7"/>
  <c r="DF143" i="7"/>
  <c r="DE242" i="7"/>
  <c r="DD242" i="7"/>
  <c r="DE163" i="7"/>
  <c r="DD163" i="7"/>
  <c r="DF168" i="7"/>
  <c r="DF138" i="7"/>
  <c r="CC199" i="7"/>
  <c r="CF199" i="7" s="1"/>
  <c r="CP199" i="7" s="1"/>
  <c r="CU199" i="7" s="1"/>
  <c r="CA199" i="7"/>
  <c r="DE199" i="7" s="1"/>
  <c r="CC174" i="7"/>
  <c r="CF174" i="7" s="1"/>
  <c r="CP174" i="7" s="1"/>
  <c r="CU174" i="7" s="1"/>
  <c r="CA174" i="7"/>
  <c r="DD174" i="7" s="1"/>
  <c r="CC233" i="7"/>
  <c r="CF233" i="7" s="1"/>
  <c r="CP233" i="7" s="1"/>
  <c r="CU233" i="7" s="1"/>
  <c r="CA233" i="7"/>
  <c r="DE233" i="7" s="1"/>
  <c r="CC154" i="7"/>
  <c r="CF154" i="7" s="1"/>
  <c r="CP154" i="7" s="1"/>
  <c r="CU154" i="7" s="1"/>
  <c r="CA154" i="7"/>
  <c r="DE154" i="7" s="1"/>
  <c r="F50" i="23"/>
  <c r="CT101" i="7"/>
  <c r="F41" i="23"/>
  <c r="F40" i="23"/>
  <c r="F42" i="23"/>
  <c r="F46" i="23"/>
  <c r="CI179" i="7"/>
  <c r="CJ179" i="7" s="1"/>
  <c r="BW179" i="7"/>
  <c r="H41" i="23"/>
  <c r="H47" i="23"/>
  <c r="H46" i="23"/>
  <c r="H43" i="23"/>
  <c r="H42" i="23"/>
  <c r="H50" i="23"/>
  <c r="H45" i="23"/>
  <c r="CQ105" i="7"/>
  <c r="F11" i="23"/>
  <c r="BY155" i="7"/>
  <c r="CN155" i="7"/>
  <c r="CS155" i="7" s="1"/>
  <c r="BZ167" i="7"/>
  <c r="CO167" i="7"/>
  <c r="CT167" i="7" s="1"/>
  <c r="BX175" i="7"/>
  <c r="CM175" i="7"/>
  <c r="CR175" i="7" s="1"/>
  <c r="BX211" i="7"/>
  <c r="CA211" i="7" s="1"/>
  <c r="CM211" i="7"/>
  <c r="CR211" i="7" s="1"/>
  <c r="BY175" i="7"/>
  <c r="CD175" i="7" s="1"/>
  <c r="CN175" i="7"/>
  <c r="CS175" i="7" s="1"/>
  <c r="BX107" i="7"/>
  <c r="CM107" i="7"/>
  <c r="CR107" i="7" s="1"/>
  <c r="BX165" i="7"/>
  <c r="CA165" i="7" s="1"/>
  <c r="CM165" i="7"/>
  <c r="CR165" i="7" s="1"/>
  <c r="BZ156" i="7"/>
  <c r="CO156" i="7"/>
  <c r="CT156" i="7" s="1"/>
  <c r="BX234" i="7"/>
  <c r="CM234" i="7"/>
  <c r="CR234" i="7" s="1"/>
  <c r="CB108" i="7"/>
  <c r="CK108" i="7"/>
  <c r="BZ176" i="7"/>
  <c r="CO176" i="7"/>
  <c r="CT176" i="7" s="1"/>
  <c r="BZ169" i="7"/>
  <c r="CO169" i="7"/>
  <c r="CT169" i="7" s="1"/>
  <c r="BY108" i="7"/>
  <c r="CA108" i="7" s="1"/>
  <c r="DE108" i="7" s="1"/>
  <c r="CN108" i="7"/>
  <c r="CS108" i="7" s="1"/>
  <c r="BY107" i="7"/>
  <c r="CN107" i="7"/>
  <c r="CS107" i="7" s="1"/>
  <c r="BX200" i="7"/>
  <c r="CM200" i="7"/>
  <c r="CR200" i="7" s="1"/>
  <c r="CP121" i="7"/>
  <c r="CU121" i="7" s="1"/>
  <c r="BX244" i="7"/>
  <c r="CA244" i="7" s="1"/>
  <c r="CM244" i="7"/>
  <c r="CR244" i="7" s="1"/>
  <c r="BZ201" i="7"/>
  <c r="CO201" i="7"/>
  <c r="CT201" i="7" s="1"/>
  <c r="BY234" i="7"/>
  <c r="CN234" i="7"/>
  <c r="CS234" i="7" s="1"/>
  <c r="BX155" i="7"/>
  <c r="CM155" i="7"/>
  <c r="CR155" i="7" s="1"/>
  <c r="BV101" i="7"/>
  <c r="CM101" i="7" s="1"/>
  <c r="CR101" i="7" s="1"/>
  <c r="BZ101" i="7"/>
  <c r="C179" i="7"/>
  <c r="CB234" i="7"/>
  <c r="CD243" i="7"/>
  <c r="CB200" i="7"/>
  <c r="CD210" i="7"/>
  <c r="CB155" i="7"/>
  <c r="CD164" i="7"/>
  <c r="CD158" i="7"/>
  <c r="CF242" i="7"/>
  <c r="CP242" i="7" s="1"/>
  <c r="CU242" i="7" s="1"/>
  <c r="CF163" i="7"/>
  <c r="CP163" i="7" s="1"/>
  <c r="CU163" i="7" s="1"/>
  <c r="CF209" i="7"/>
  <c r="CP209" i="7" s="1"/>
  <c r="CU209" i="7" s="1"/>
  <c r="CC210" i="7"/>
  <c r="CE210" i="7"/>
  <c r="CE200" i="7"/>
  <c r="CC164" i="7"/>
  <c r="CE164" i="7"/>
  <c r="CC243" i="7"/>
  <c r="CE243" i="7"/>
  <c r="CE155" i="7"/>
  <c r="CC158" i="7"/>
  <c r="CE158" i="7"/>
  <c r="CE234" i="7"/>
  <c r="CE108" i="7"/>
  <c r="CC108" i="7"/>
  <c r="BV201" i="7"/>
  <c r="BV176" i="7"/>
  <c r="BV169" i="7"/>
  <c r="CM169" i="7" s="1"/>
  <c r="CR169" i="7" s="1"/>
  <c r="BV156" i="7"/>
  <c r="CV121" i="7"/>
  <c r="CW121" i="7"/>
  <c r="CX121" i="7"/>
  <c r="CB164" i="7"/>
  <c r="CB158" i="7"/>
  <c r="BY200" i="7"/>
  <c r="CB210" i="7"/>
  <c r="CB243" i="7"/>
  <c r="CY121" i="7"/>
  <c r="AZ101" i="7"/>
  <c r="BT167" i="7"/>
  <c r="BU167" i="7"/>
  <c r="BO201" i="7"/>
  <c r="BO176" i="7"/>
  <c r="BO156" i="7"/>
  <c r="BO169" i="7"/>
  <c r="BQ106" i="7"/>
  <c r="BR106" i="7"/>
  <c r="BL106" i="7"/>
  <c r="BN106" i="7"/>
  <c r="BM106" i="7"/>
  <c r="BQ102" i="7"/>
  <c r="BR102" i="7"/>
  <c r="BU106" i="7"/>
  <c r="BT106" i="7"/>
  <c r="BU177" i="7"/>
  <c r="BV177" i="7" s="1"/>
  <c r="BT177" i="7"/>
  <c r="BN102" i="7"/>
  <c r="BL102" i="7"/>
  <c r="BM102" i="7"/>
  <c r="BN177" i="7"/>
  <c r="BL177" i="7"/>
  <c r="BM177" i="7"/>
  <c r="BU102" i="7"/>
  <c r="BT102" i="7"/>
  <c r="BR177" i="7"/>
  <c r="BQ177" i="7"/>
  <c r="DF125" i="7"/>
  <c r="BQ101" i="7"/>
  <c r="BM101" i="7"/>
  <c r="BN101" i="7"/>
  <c r="BL101" i="7"/>
  <c r="CW159" i="7"/>
  <c r="CW235" i="7"/>
  <c r="CW213" i="7"/>
  <c r="CW145" i="7"/>
  <c r="CW237" i="7"/>
  <c r="CW188" i="7"/>
  <c r="CW117" i="7"/>
  <c r="CW206" i="7"/>
  <c r="CW215" i="7"/>
  <c r="CW149" i="7"/>
  <c r="CW185" i="7"/>
  <c r="CW193" i="7"/>
  <c r="CW248" i="7"/>
  <c r="CW186" i="7"/>
  <c r="CW128" i="7"/>
  <c r="CW123" i="7"/>
  <c r="CW184" i="7"/>
  <c r="CW118" i="7"/>
  <c r="CY198" i="7"/>
  <c r="CW221" i="7"/>
  <c r="CW216" i="7"/>
  <c r="CX208" i="7"/>
  <c r="CW143" i="7"/>
  <c r="CW194" i="7"/>
  <c r="CW249" i="7"/>
  <c r="CX153" i="7"/>
  <c r="CY232" i="7"/>
  <c r="CY241" i="7"/>
  <c r="CW151" i="7"/>
  <c r="CW238" i="7"/>
  <c r="CW171" i="7"/>
  <c r="CW119" i="7"/>
  <c r="CW168" i="7"/>
  <c r="CW162" i="7"/>
  <c r="CW173" i="7"/>
  <c r="CV140" i="7"/>
  <c r="CW139" i="7"/>
  <c r="CW225" i="7"/>
  <c r="CW133" i="7"/>
  <c r="CW187" i="7"/>
  <c r="CW192" i="7"/>
  <c r="CW236" i="7"/>
  <c r="CW160" i="7"/>
  <c r="CW202" i="7"/>
  <c r="CW129" i="7"/>
  <c r="CW170" i="7"/>
  <c r="DF116" i="7"/>
  <c r="CW181" i="7"/>
  <c r="CW135" i="7"/>
  <c r="CW214" i="7"/>
  <c r="CW262" i="7"/>
  <c r="CW136" i="7"/>
  <c r="CW246" i="7"/>
  <c r="CW203" i="7"/>
  <c r="CW263" i="7"/>
  <c r="CW205" i="7"/>
  <c r="CW142" i="7"/>
  <c r="CW148" i="7"/>
  <c r="CW220" i="7"/>
  <c r="CW196" i="7"/>
  <c r="CW137" i="7"/>
  <c r="CW226" i="7"/>
  <c r="CW218" i="7"/>
  <c r="CW230" i="7"/>
  <c r="CW134" i="7"/>
  <c r="CW144" i="7"/>
  <c r="CW228" i="7"/>
  <c r="CW141" i="7"/>
  <c r="CW130" i="7"/>
  <c r="CW180" i="7"/>
  <c r="CW189" i="7"/>
  <c r="CW195" i="7"/>
  <c r="CW120" i="7"/>
  <c r="CV144" i="7"/>
  <c r="CX144" i="7"/>
  <c r="CY144" i="7"/>
  <c r="CW232" i="7"/>
  <c r="CY162" i="7"/>
  <c r="CY133" i="7"/>
  <c r="CX133" i="7"/>
  <c r="CV133" i="7"/>
  <c r="CX117" i="7"/>
  <c r="CV117" i="7"/>
  <c r="CY117" i="7"/>
  <c r="CV173" i="7"/>
  <c r="CY187" i="7"/>
  <c r="CV187" i="7"/>
  <c r="CX187" i="7"/>
  <c r="CW140" i="7"/>
  <c r="CV216" i="7"/>
  <c r="CX216" i="7"/>
  <c r="CY216" i="7"/>
  <c r="CV153" i="7"/>
  <c r="CX236" i="7"/>
  <c r="CV236" i="7"/>
  <c r="CY236" i="7"/>
  <c r="CV241" i="7"/>
  <c r="CX173" i="7"/>
  <c r="CV159" i="7"/>
  <c r="CY159" i="7"/>
  <c r="CX159" i="7"/>
  <c r="CY151" i="7"/>
  <c r="CV151" i="7"/>
  <c r="CX151" i="7"/>
  <c r="CY145" i="7"/>
  <c r="CV145" i="7"/>
  <c r="CX145" i="7"/>
  <c r="CX248" i="7"/>
  <c r="CY248" i="7"/>
  <c r="CV248" i="7"/>
  <c r="CY129" i="7"/>
  <c r="CX129" i="7"/>
  <c r="CV129" i="7"/>
  <c r="CX186" i="7"/>
  <c r="CV186" i="7"/>
  <c r="CY186" i="7"/>
  <c r="CY128" i="7"/>
  <c r="CX128" i="7"/>
  <c r="CV128" i="7"/>
  <c r="CV232" i="7"/>
  <c r="CV123" i="7"/>
  <c r="CX123" i="7"/>
  <c r="CY123" i="7"/>
  <c r="CV170" i="7"/>
  <c r="CY170" i="7"/>
  <c r="CX170" i="7"/>
  <c r="CY184" i="7"/>
  <c r="CX184" i="7"/>
  <c r="CV184" i="7"/>
  <c r="CY168" i="7"/>
  <c r="CX168" i="7"/>
  <c r="CV168" i="7"/>
  <c r="CY139" i="7"/>
  <c r="CX139" i="7"/>
  <c r="CX220" i="7"/>
  <c r="CV220" i="7"/>
  <c r="CY220" i="7"/>
  <c r="CY173" i="7"/>
  <c r="CV196" i="7"/>
  <c r="CY196" i="7"/>
  <c r="CX196" i="7"/>
  <c r="CV263" i="7"/>
  <c r="CY263" i="7"/>
  <c r="CX263" i="7"/>
  <c r="CV181" i="7"/>
  <c r="CY181" i="7"/>
  <c r="CX181" i="7"/>
  <c r="CV134" i="7"/>
  <c r="CX134" i="7"/>
  <c r="CY134" i="7"/>
  <c r="CY208" i="7"/>
  <c r="CX120" i="7"/>
  <c r="CY120" i="7"/>
  <c r="CV120" i="7"/>
  <c r="CX130" i="7"/>
  <c r="CV130" i="7"/>
  <c r="CY130" i="7"/>
  <c r="CW153" i="7"/>
  <c r="CV262" i="7"/>
  <c r="CY262" i="7"/>
  <c r="CX262" i="7"/>
  <c r="CV225" i="7"/>
  <c r="CY225" i="7"/>
  <c r="CX225" i="7"/>
  <c r="CX195" i="7"/>
  <c r="CY195" i="7"/>
  <c r="CV195" i="7"/>
  <c r="CY194" i="7"/>
  <c r="CV194" i="7"/>
  <c r="CX194" i="7"/>
  <c r="CY213" i="7"/>
  <c r="CV213" i="7"/>
  <c r="CX213" i="7"/>
  <c r="CV249" i="7"/>
  <c r="CX249" i="7"/>
  <c r="CY249" i="7"/>
  <c r="CY214" i="7"/>
  <c r="CX214" i="7"/>
  <c r="CV214" i="7"/>
  <c r="CV189" i="7"/>
  <c r="CX189" i="7"/>
  <c r="CY189" i="7"/>
  <c r="CW241" i="7"/>
  <c r="CX137" i="7"/>
  <c r="CY137" i="7"/>
  <c r="CV137" i="7"/>
  <c r="CX232" i="7"/>
  <c r="CW198" i="7"/>
  <c r="CX140" i="7"/>
  <c r="CY140" i="7"/>
  <c r="CV162" i="7"/>
  <c r="CX241" i="7"/>
  <c r="CY205" i="7"/>
  <c r="CV205" i="7"/>
  <c r="CX205" i="7"/>
  <c r="CY203" i="7"/>
  <c r="CV203" i="7"/>
  <c r="CX203" i="7"/>
  <c r="CY141" i="7"/>
  <c r="CV141" i="7"/>
  <c r="CX141" i="7"/>
  <c r="CV198" i="7"/>
  <c r="CX148" i="7"/>
  <c r="CV148" i="7"/>
  <c r="CY148" i="7"/>
  <c r="CY153" i="7"/>
  <c r="CY185" i="7"/>
  <c r="CV185" i="7"/>
  <c r="CX185" i="7"/>
  <c r="CY193" i="7"/>
  <c r="CV193" i="7"/>
  <c r="CX193" i="7"/>
  <c r="CX202" i="7"/>
  <c r="CV202" i="7"/>
  <c r="CY202" i="7"/>
  <c r="CX221" i="7"/>
  <c r="CY221" i="7"/>
  <c r="CV221" i="7"/>
  <c r="CX238" i="7"/>
  <c r="CV238" i="7"/>
  <c r="CY238" i="7"/>
  <c r="CV160" i="7"/>
  <c r="CX160" i="7"/>
  <c r="CY160" i="7"/>
  <c r="CV171" i="7"/>
  <c r="CX171" i="7"/>
  <c r="CY171" i="7"/>
  <c r="CX119" i="7"/>
  <c r="CV119" i="7"/>
  <c r="CY119" i="7"/>
  <c r="CX237" i="7"/>
  <c r="CV237" i="7"/>
  <c r="CY237" i="7"/>
  <c r="CX162" i="7"/>
  <c r="CY118" i="7"/>
  <c r="CX118" i="7"/>
  <c r="CV118" i="7"/>
  <c r="CV226" i="7"/>
  <c r="CY226" i="7"/>
  <c r="CX226" i="7"/>
  <c r="CY142" i="7"/>
  <c r="CV142" i="7"/>
  <c r="CX142" i="7"/>
  <c r="CV139" i="7"/>
  <c r="CV136" i="7"/>
  <c r="CY136" i="7"/>
  <c r="CX136" i="7"/>
  <c r="CV208" i="7"/>
  <c r="CX180" i="7"/>
  <c r="CY180" i="7"/>
  <c r="CV180" i="7"/>
  <c r="CV143" i="7"/>
  <c r="CY143" i="7"/>
  <c r="CX143" i="7"/>
  <c r="CW208" i="7"/>
  <c r="CV228" i="7"/>
  <c r="CY228" i="7"/>
  <c r="CX228" i="7"/>
  <c r="CY135" i="7"/>
  <c r="CV135" i="7"/>
  <c r="CX135" i="7"/>
  <c r="CV235" i="7"/>
  <c r="CX235" i="7"/>
  <c r="CY235" i="7"/>
  <c r="CV218" i="7"/>
  <c r="CX218" i="7"/>
  <c r="CY218" i="7"/>
  <c r="CY246" i="7"/>
  <c r="CX246" i="7"/>
  <c r="CV246" i="7"/>
  <c r="CY188" i="7"/>
  <c r="CV188" i="7"/>
  <c r="CX188" i="7"/>
  <c r="CY206" i="7"/>
  <c r="CV206" i="7"/>
  <c r="CX206" i="7"/>
  <c r="CX215" i="7"/>
  <c r="CV215" i="7"/>
  <c r="CY215" i="7"/>
  <c r="CY230" i="7"/>
  <c r="CV230" i="7"/>
  <c r="CX230" i="7"/>
  <c r="CX192" i="7"/>
  <c r="CV192" i="7"/>
  <c r="CY192" i="7"/>
  <c r="CY149" i="7"/>
  <c r="CV149" i="7"/>
  <c r="CX149" i="7"/>
  <c r="CX198" i="7"/>
  <c r="DF126" i="7"/>
  <c r="BB244" i="7"/>
  <c r="BV245" i="7"/>
  <c r="BA245" i="7"/>
  <c r="BB211" i="7"/>
  <c r="BV212" i="7"/>
  <c r="BB201" i="7"/>
  <c r="BA212" i="7"/>
  <c r="BB156" i="7"/>
  <c r="BB165" i="7"/>
  <c r="BB176" i="7"/>
  <c r="AZ167" i="7"/>
  <c r="BA166" i="7"/>
  <c r="AY179" i="7"/>
  <c r="AZ178" i="7"/>
  <c r="BV166" i="7"/>
  <c r="BA177" i="7"/>
  <c r="BB169" i="7"/>
  <c r="DF122" i="7"/>
  <c r="DF114" i="7"/>
  <c r="BB107" i="7"/>
  <c r="DC107" i="7" s="1"/>
  <c r="BA102" i="7"/>
  <c r="DF242" i="7" l="1"/>
  <c r="DE174" i="7"/>
  <c r="DF174" i="7" s="1"/>
  <c r="DD154" i="7"/>
  <c r="DF154" i="7" s="1"/>
  <c r="DF209" i="7"/>
  <c r="CK244" i="7"/>
  <c r="DC244" i="7"/>
  <c r="CK156" i="7"/>
  <c r="DC156" i="7"/>
  <c r="DE164" i="7"/>
  <c r="DD164" i="7"/>
  <c r="CK169" i="7"/>
  <c r="DC169" i="7"/>
  <c r="CK165" i="7"/>
  <c r="DC165" i="7"/>
  <c r="CK201" i="7"/>
  <c r="DC201" i="7"/>
  <c r="DD210" i="7"/>
  <c r="DE210" i="7"/>
  <c r="CK211" i="7"/>
  <c r="DC211" i="7"/>
  <c r="DD199" i="7"/>
  <c r="DF199" i="7" s="1"/>
  <c r="DD233" i="7"/>
  <c r="DF233" i="7" s="1"/>
  <c r="CK176" i="7"/>
  <c r="DC176" i="7"/>
  <c r="DF163" i="7"/>
  <c r="DD243" i="7"/>
  <c r="DE243" i="7"/>
  <c r="DE158" i="7"/>
  <c r="DD158" i="7"/>
  <c r="DD108" i="7"/>
  <c r="DF108" i="7" s="1"/>
  <c r="CC200" i="7"/>
  <c r="CA200" i="7"/>
  <c r="DE200" i="7" s="1"/>
  <c r="CC175" i="7"/>
  <c r="CF175" i="7" s="1"/>
  <c r="CP175" i="7" s="1"/>
  <c r="CU175" i="7" s="1"/>
  <c r="CA175" i="7"/>
  <c r="CA107" i="7"/>
  <c r="DE107" i="7" s="1"/>
  <c r="CC234" i="7"/>
  <c r="CA234" i="7"/>
  <c r="DD234" i="7" s="1"/>
  <c r="CC155" i="7"/>
  <c r="CA155" i="7"/>
  <c r="DD155" i="7" s="1"/>
  <c r="K11" i="23"/>
  <c r="F39" i="23" s="1"/>
  <c r="F43" i="23"/>
  <c r="I46" i="23"/>
  <c r="I45" i="23"/>
  <c r="CD108" i="7"/>
  <c r="CF108" i="7" s="1"/>
  <c r="CP108" i="7" s="1"/>
  <c r="CU108" i="7" s="1"/>
  <c r="CD234" i="7"/>
  <c r="BX166" i="7"/>
  <c r="CA166" i="7" s="1"/>
  <c r="CM166" i="7"/>
  <c r="CR166" i="7" s="1"/>
  <c r="BX177" i="7"/>
  <c r="CM177" i="7"/>
  <c r="CR177" i="7" s="1"/>
  <c r="BZ106" i="7"/>
  <c r="CO106" i="7"/>
  <c r="CT106" i="7" s="1"/>
  <c r="H44" i="23" s="1"/>
  <c r="BX201" i="7"/>
  <c r="CM201" i="7"/>
  <c r="CR201" i="7" s="1"/>
  <c r="CD155" i="7"/>
  <c r="BX245" i="7"/>
  <c r="CA245" i="7" s="1"/>
  <c r="CM245" i="7"/>
  <c r="CR245" i="7" s="1"/>
  <c r="BY169" i="7"/>
  <c r="CD169" i="7" s="1"/>
  <c r="CN169" i="7"/>
  <c r="CS169" i="7" s="1"/>
  <c r="BX212" i="7"/>
  <c r="CA212" i="7" s="1"/>
  <c r="CM212" i="7"/>
  <c r="CR212" i="7" s="1"/>
  <c r="BZ102" i="7"/>
  <c r="CO102" i="7"/>
  <c r="CT102" i="7" s="1"/>
  <c r="BY156" i="7"/>
  <c r="CN156" i="7"/>
  <c r="CS156" i="7" s="1"/>
  <c r="BY176" i="7"/>
  <c r="CN176" i="7"/>
  <c r="CS176" i="7" s="1"/>
  <c r="BY201" i="7"/>
  <c r="CD201" i="7" s="1"/>
  <c r="CN201" i="7"/>
  <c r="CS201" i="7" s="1"/>
  <c r="BX156" i="7"/>
  <c r="CM156" i="7"/>
  <c r="CR156" i="7" s="1"/>
  <c r="BZ177" i="7"/>
  <c r="CO177" i="7"/>
  <c r="CT177" i="7" s="1"/>
  <c r="CD107" i="7"/>
  <c r="CK107" i="7"/>
  <c r="BX176" i="7"/>
  <c r="CM176" i="7"/>
  <c r="CR176" i="7" s="1"/>
  <c r="BX101" i="7"/>
  <c r="CD244" i="7"/>
  <c r="CD211" i="7"/>
  <c r="CB201" i="7"/>
  <c r="CB176" i="7"/>
  <c r="CB169" i="7"/>
  <c r="CB156" i="7"/>
  <c r="CD165" i="7"/>
  <c r="CF243" i="7"/>
  <c r="CP243" i="7" s="1"/>
  <c r="CU243" i="7" s="1"/>
  <c r="CF210" i="7"/>
  <c r="CP210" i="7" s="1"/>
  <c r="CU210" i="7" s="1"/>
  <c r="CF158" i="7"/>
  <c r="CP158" i="7" s="1"/>
  <c r="CU158" i="7" s="1"/>
  <c r="CF164" i="7"/>
  <c r="CP164" i="7" s="1"/>
  <c r="CU164" i="7" s="1"/>
  <c r="CD200" i="7"/>
  <c r="CE156" i="7"/>
  <c r="CC211" i="7"/>
  <c r="CE211" i="7"/>
  <c r="CE201" i="7"/>
  <c r="CC107" i="7"/>
  <c r="CE107" i="7"/>
  <c r="CC244" i="7"/>
  <c r="CE244" i="7"/>
  <c r="CE169" i="7"/>
  <c r="CC165" i="7"/>
  <c r="CE165" i="7"/>
  <c r="CE176" i="7"/>
  <c r="BX169" i="7"/>
  <c r="DF121" i="7"/>
  <c r="BV102" i="7"/>
  <c r="CM102" i="7" s="1"/>
  <c r="CR102" i="7" s="1"/>
  <c r="CB107" i="7"/>
  <c r="CB244" i="7"/>
  <c r="CB211" i="7"/>
  <c r="CB165" i="7"/>
  <c r="BA101" i="7"/>
  <c r="BO102" i="7"/>
  <c r="BO177" i="7"/>
  <c r="BT178" i="7"/>
  <c r="BU178" i="7"/>
  <c r="BR178" i="7"/>
  <c r="BQ178" i="7"/>
  <c r="BO101" i="7"/>
  <c r="BL178" i="7"/>
  <c r="BN178" i="7"/>
  <c r="BM178" i="7"/>
  <c r="BO106" i="7"/>
  <c r="DF130" i="7"/>
  <c r="DF134" i="7"/>
  <c r="CX209" i="7"/>
  <c r="CX242" i="7"/>
  <c r="CW163" i="7"/>
  <c r="CX154" i="7"/>
  <c r="CY174" i="7"/>
  <c r="CX233" i="7"/>
  <c r="CX199" i="7"/>
  <c r="DF117" i="7"/>
  <c r="DF136" i="7"/>
  <c r="DF129" i="7"/>
  <c r="DF135" i="7"/>
  <c r="DF118" i="7"/>
  <c r="DF133" i="7"/>
  <c r="DF128" i="7"/>
  <c r="DF120" i="7"/>
  <c r="CW242" i="7"/>
  <c r="CV233" i="7"/>
  <c r="CY233" i="7"/>
  <c r="CW199" i="7"/>
  <c r="DF123" i="7"/>
  <c r="CW233" i="7"/>
  <c r="CV154" i="7"/>
  <c r="CV174" i="7"/>
  <c r="CY154" i="7"/>
  <c r="CV242" i="7"/>
  <c r="CW154" i="7"/>
  <c r="CY209" i="7"/>
  <c r="CV199" i="7"/>
  <c r="CY163" i="7"/>
  <c r="CX163" i="7"/>
  <c r="CV163" i="7"/>
  <c r="CW174" i="7"/>
  <c r="CV209" i="7"/>
  <c r="CX174" i="7"/>
  <c r="CW209" i="7"/>
  <c r="CY242" i="7"/>
  <c r="CY199" i="7"/>
  <c r="DF127" i="7"/>
  <c r="DF132" i="7"/>
  <c r="DF131" i="7"/>
  <c r="BB245" i="7"/>
  <c r="BB212" i="7"/>
  <c r="DC212" i="7" s="1"/>
  <c r="AZ179" i="7"/>
  <c r="BB177" i="7"/>
  <c r="BB166" i="7"/>
  <c r="BV167" i="7"/>
  <c r="AY260" i="7"/>
  <c r="BA178" i="7"/>
  <c r="BA167" i="7"/>
  <c r="DF115" i="7"/>
  <c r="DF124" i="7"/>
  <c r="BB102" i="7"/>
  <c r="DC102" i="7" s="1"/>
  <c r="DF158" i="7" l="1"/>
  <c r="DD200" i="7"/>
  <c r="DF200" i="7" s="1"/>
  <c r="DE234" i="7"/>
  <c r="DF234" i="7" s="1"/>
  <c r="DE155" i="7"/>
  <c r="DF155" i="7" s="1"/>
  <c r="CK177" i="7"/>
  <c r="DC177" i="7"/>
  <c r="DE212" i="7"/>
  <c r="DD212" i="7"/>
  <c r="DF210" i="7"/>
  <c r="DF164" i="7"/>
  <c r="DD175" i="7"/>
  <c r="DE175" i="7"/>
  <c r="CK245" i="7"/>
  <c r="DC245" i="7"/>
  <c r="DE165" i="7"/>
  <c r="DD165" i="7"/>
  <c r="DF243" i="7"/>
  <c r="DE211" i="7"/>
  <c r="DD211" i="7"/>
  <c r="CK166" i="7"/>
  <c r="DC166" i="7"/>
  <c r="DE244" i="7"/>
  <c r="DD244" i="7"/>
  <c r="DD107" i="7"/>
  <c r="DF107" i="7" s="1"/>
  <c r="CF234" i="7"/>
  <c r="CP234" i="7" s="1"/>
  <c r="CU234" i="7" s="1"/>
  <c r="CF200" i="7"/>
  <c r="CP200" i="7" s="1"/>
  <c r="CU200" i="7" s="1"/>
  <c r="CF155" i="7"/>
  <c r="CP155" i="7" s="1"/>
  <c r="CU155" i="7" s="1"/>
  <c r="CC156" i="7"/>
  <c r="CA156" i="7"/>
  <c r="DE156" i="7" s="1"/>
  <c r="CC201" i="7"/>
  <c r="CF201" i="7" s="1"/>
  <c r="CP201" i="7" s="1"/>
  <c r="CU201" i="7" s="1"/>
  <c r="CA201" i="7"/>
  <c r="DE201" i="7" s="1"/>
  <c r="CC176" i="7"/>
  <c r="CA176" i="7"/>
  <c r="DE176" i="7" s="1"/>
  <c r="CC169" i="7"/>
  <c r="CF169" i="7" s="1"/>
  <c r="CP169" i="7" s="1"/>
  <c r="CU169" i="7" s="1"/>
  <c r="CA169" i="7"/>
  <c r="DE169" i="7" s="1"/>
  <c r="I40" i="23"/>
  <c r="CD156" i="7"/>
  <c r="BX167" i="7"/>
  <c r="CA167" i="7" s="1"/>
  <c r="CM167" i="7"/>
  <c r="CR167" i="7" s="1"/>
  <c r="CB102" i="7"/>
  <c r="CK102" i="7"/>
  <c r="BY106" i="7"/>
  <c r="CN106" i="7"/>
  <c r="CS106" i="7" s="1"/>
  <c r="CK212" i="7"/>
  <c r="BY177" i="7"/>
  <c r="CA177" i="7" s="1"/>
  <c r="CN177" i="7"/>
  <c r="CS177" i="7" s="1"/>
  <c r="BY102" i="7"/>
  <c r="CD102" i="7" s="1"/>
  <c r="CN102" i="7"/>
  <c r="CS102" i="7" s="1"/>
  <c r="H40" i="23" s="1"/>
  <c r="CD176" i="7"/>
  <c r="BZ178" i="7"/>
  <c r="CO178" i="7"/>
  <c r="CT178" i="7" s="1"/>
  <c r="CN101" i="7"/>
  <c r="CS101" i="7" s="1"/>
  <c r="M11" i="23" s="1"/>
  <c r="H39" i="23" s="1"/>
  <c r="BY101" i="7"/>
  <c r="CA101" i="7" s="1"/>
  <c r="CD245" i="7"/>
  <c r="CD166" i="7"/>
  <c r="CB177" i="7"/>
  <c r="CF244" i="7"/>
  <c r="CP244" i="7" s="1"/>
  <c r="CU244" i="7" s="1"/>
  <c r="CF107" i="7"/>
  <c r="CP107" i="7" s="1"/>
  <c r="CU107" i="7" s="1"/>
  <c r="CF165" i="7"/>
  <c r="CP165" i="7" s="1"/>
  <c r="CU165" i="7" s="1"/>
  <c r="CF211" i="7"/>
  <c r="CP211" i="7" s="1"/>
  <c r="CU211" i="7" s="1"/>
  <c r="CE212" i="7"/>
  <c r="CD212" i="7"/>
  <c r="CC166" i="7"/>
  <c r="CE166" i="7"/>
  <c r="CC245" i="7"/>
  <c r="CE245" i="7"/>
  <c r="CE102" i="7"/>
  <c r="CC212" i="7"/>
  <c r="CE177" i="7"/>
  <c r="CC177" i="7"/>
  <c r="BX102" i="7"/>
  <c r="BV178" i="7"/>
  <c r="CM178" i="7" s="1"/>
  <c r="CR178" i="7" s="1"/>
  <c r="BB101" i="7"/>
  <c r="DC101" i="7" s="1"/>
  <c r="CB166" i="7"/>
  <c r="CB245" i="7"/>
  <c r="CB212" i="7"/>
  <c r="BT260" i="7"/>
  <c r="BU260" i="7"/>
  <c r="BO178" i="7"/>
  <c r="BU179" i="7"/>
  <c r="BT179" i="7"/>
  <c r="BL179" i="7"/>
  <c r="BN179" i="7"/>
  <c r="BM179" i="7"/>
  <c r="BR179" i="7"/>
  <c r="BQ179" i="7"/>
  <c r="CX243" i="7"/>
  <c r="CW158" i="7"/>
  <c r="CY164" i="7"/>
  <c r="CY210" i="7"/>
  <c r="DF119" i="7"/>
  <c r="CY158" i="7"/>
  <c r="CX210" i="7"/>
  <c r="CW210" i="7"/>
  <c r="CV158" i="7"/>
  <c r="CV210" i="7"/>
  <c r="CW175" i="7"/>
  <c r="CY243" i="7"/>
  <c r="CX164" i="7"/>
  <c r="CV243" i="7"/>
  <c r="CW243" i="7"/>
  <c r="CW164" i="7"/>
  <c r="CV164" i="7"/>
  <c r="CX175" i="7"/>
  <c r="CV175" i="7"/>
  <c r="CY175" i="7"/>
  <c r="CX158" i="7"/>
  <c r="BB167" i="7"/>
  <c r="DC167" i="7" s="1"/>
  <c r="AY261" i="7"/>
  <c r="BA179" i="7"/>
  <c r="AZ260" i="7"/>
  <c r="BB178" i="7"/>
  <c r="DD201" i="7" l="1"/>
  <c r="DF201" i="7" s="1"/>
  <c r="DF244" i="7"/>
  <c r="DE166" i="7"/>
  <c r="DD166" i="7"/>
  <c r="DE245" i="7"/>
  <c r="DD245" i="7"/>
  <c r="DF211" i="7"/>
  <c r="DF212" i="7"/>
  <c r="CK178" i="7"/>
  <c r="DC178" i="7"/>
  <c r="DD176" i="7"/>
  <c r="DF176" i="7" s="1"/>
  <c r="DF175" i="7"/>
  <c r="DD169" i="7"/>
  <c r="DF169" i="7" s="1"/>
  <c r="DD167" i="7"/>
  <c r="DE167" i="7"/>
  <c r="DD156" i="7"/>
  <c r="DF156" i="7" s="1"/>
  <c r="DE177" i="7"/>
  <c r="DD177" i="7"/>
  <c r="DF165" i="7"/>
  <c r="DE101" i="7"/>
  <c r="DD101" i="7"/>
  <c r="CV234" i="7"/>
  <c r="CY200" i="7"/>
  <c r="CV200" i="7"/>
  <c r="CY234" i="7"/>
  <c r="CX234" i="7"/>
  <c r="CW234" i="7"/>
  <c r="CW200" i="7"/>
  <c r="CF156" i="7"/>
  <c r="CP156" i="7" s="1"/>
  <c r="CU156" i="7" s="1"/>
  <c r="CX200" i="7"/>
  <c r="CY155" i="7"/>
  <c r="CX155" i="7"/>
  <c r="CV155" i="7"/>
  <c r="CW155" i="7"/>
  <c r="CF176" i="7"/>
  <c r="CP176" i="7" s="1"/>
  <c r="CU176" i="7" s="1"/>
  <c r="CC102" i="7"/>
  <c r="CF102" i="7" s="1"/>
  <c r="CP102" i="7" s="1"/>
  <c r="CU102" i="7" s="1"/>
  <c r="CA102" i="7"/>
  <c r="G43" i="23"/>
  <c r="G45" i="23"/>
  <c r="G46" i="23"/>
  <c r="G47" i="23"/>
  <c r="G40" i="23"/>
  <c r="G50" i="23"/>
  <c r="G44" i="23"/>
  <c r="L11" i="23"/>
  <c r="G39" i="23" s="1"/>
  <c r="CD177" i="7"/>
  <c r="CF177" i="7" s="1"/>
  <c r="CP177" i="7" s="1"/>
  <c r="CU177" i="7" s="1"/>
  <c r="CK167" i="7"/>
  <c r="BY178" i="7"/>
  <c r="CD178" i="7" s="1"/>
  <c r="CN178" i="7"/>
  <c r="CS178" i="7" s="1"/>
  <c r="BZ179" i="7"/>
  <c r="CO179" i="7"/>
  <c r="CT179" i="7" s="1"/>
  <c r="CE101" i="7"/>
  <c r="CK101" i="7"/>
  <c r="CB178" i="7"/>
  <c r="CF166" i="7"/>
  <c r="CP166" i="7" s="1"/>
  <c r="CU166" i="7" s="1"/>
  <c r="CF212" i="7"/>
  <c r="CP212" i="7" s="1"/>
  <c r="CU212" i="7" s="1"/>
  <c r="CF245" i="7"/>
  <c r="CP245" i="7" s="1"/>
  <c r="CU245" i="7" s="1"/>
  <c r="CD101" i="7"/>
  <c r="CE167" i="7"/>
  <c r="CD167" i="7"/>
  <c r="CE178" i="7"/>
  <c r="CC167" i="7"/>
  <c r="CC101" i="7"/>
  <c r="BX178" i="7"/>
  <c r="CB101" i="7"/>
  <c r="BV179" i="7"/>
  <c r="CM179" i="7" s="1"/>
  <c r="CR179" i="7" s="1"/>
  <c r="CB167" i="7"/>
  <c r="BT261" i="7"/>
  <c r="BU261" i="7"/>
  <c r="BO179" i="7"/>
  <c r="CW108" i="7"/>
  <c r="CW169" i="7"/>
  <c r="CX201" i="7"/>
  <c r="CY244" i="7"/>
  <c r="CY165" i="7"/>
  <c r="CX107" i="7"/>
  <c r="CX211" i="7"/>
  <c r="CW244" i="7"/>
  <c r="CV244" i="7"/>
  <c r="CX244" i="7"/>
  <c r="CV165" i="7"/>
  <c r="CV107" i="7"/>
  <c r="CW165" i="7"/>
  <c r="CX165" i="7"/>
  <c r="CY211" i="7"/>
  <c r="CV211" i="7"/>
  <c r="CW107" i="7"/>
  <c r="CY201" i="7"/>
  <c r="CX169" i="7"/>
  <c r="CY107" i="7"/>
  <c r="CY169" i="7"/>
  <c r="CW201" i="7"/>
  <c r="CV169" i="7"/>
  <c r="CW211" i="7"/>
  <c r="CV201" i="7"/>
  <c r="CX108" i="7"/>
  <c r="CV108" i="7"/>
  <c r="CY108" i="7"/>
  <c r="BA260" i="7"/>
  <c r="BB179" i="7"/>
  <c r="AZ261" i="7"/>
  <c r="AY182" i="7"/>
  <c r="BV260" i="7"/>
  <c r="AX112" i="7"/>
  <c r="DF166" i="7" l="1"/>
  <c r="DF167" i="7"/>
  <c r="DF245" i="7"/>
  <c r="CK179" i="7"/>
  <c r="DC179" i="7"/>
  <c r="DF177" i="7"/>
  <c r="DF101" i="7"/>
  <c r="DE102" i="7"/>
  <c r="DD102" i="7"/>
  <c r="CW176" i="7"/>
  <c r="CV156" i="7"/>
  <c r="CX156" i="7"/>
  <c r="CW156" i="7"/>
  <c r="CY156" i="7"/>
  <c r="CY176" i="7"/>
  <c r="CV176" i="7"/>
  <c r="CX176" i="7"/>
  <c r="CC178" i="7"/>
  <c r="CF178" i="7" s="1"/>
  <c r="CP178" i="7" s="1"/>
  <c r="CU178" i="7" s="1"/>
  <c r="CA178" i="7"/>
  <c r="DD178" i="7" s="1"/>
  <c r="BX260" i="7"/>
  <c r="CA260" i="7" s="1"/>
  <c r="CM260" i="7"/>
  <c r="CR260" i="7" s="1"/>
  <c r="BY179" i="7"/>
  <c r="CD179" i="7" s="1"/>
  <c r="CN179" i="7"/>
  <c r="CS179" i="7" s="1"/>
  <c r="CB179" i="7"/>
  <c r="CF167" i="7"/>
  <c r="CP167" i="7" s="1"/>
  <c r="CU167" i="7" s="1"/>
  <c r="CF101" i="7"/>
  <c r="CP101" i="7" s="1"/>
  <c r="CU101" i="7" s="1"/>
  <c r="CE179" i="7"/>
  <c r="BX179" i="7"/>
  <c r="CV102" i="7"/>
  <c r="CX166" i="7"/>
  <c r="CW177" i="7"/>
  <c r="CX245" i="7"/>
  <c r="CY212" i="7"/>
  <c r="CW245" i="7"/>
  <c r="CW166" i="7"/>
  <c r="CY177" i="7"/>
  <c r="CX212" i="7"/>
  <c r="CV166" i="7"/>
  <c r="CV177" i="7"/>
  <c r="CW102" i="7"/>
  <c r="CX102" i="7"/>
  <c r="CV212" i="7"/>
  <c r="CY245" i="7"/>
  <c r="CX177" i="7"/>
  <c r="CY102" i="7"/>
  <c r="CV245" i="7"/>
  <c r="CY166" i="7"/>
  <c r="CW212" i="7"/>
  <c r="AY183" i="7"/>
  <c r="AZ182" i="7"/>
  <c r="BV261" i="7"/>
  <c r="BA261" i="7"/>
  <c r="BB260" i="7"/>
  <c r="BV112" i="7"/>
  <c r="AZ112" i="7"/>
  <c r="AX110" i="7"/>
  <c r="AX111" i="7"/>
  <c r="AX109" i="7"/>
  <c r="AX106" i="7"/>
  <c r="AX113" i="7"/>
  <c r="AX104" i="7"/>
  <c r="AX105" i="7"/>
  <c r="AX103" i="7"/>
  <c r="DE178" i="7" l="1"/>
  <c r="DF178" i="7" s="1"/>
  <c r="CK260" i="7"/>
  <c r="DC260" i="7"/>
  <c r="DF102" i="7"/>
  <c r="CC179" i="7"/>
  <c r="CF179" i="7" s="1"/>
  <c r="CP179" i="7" s="1"/>
  <c r="CU179" i="7" s="1"/>
  <c r="CA179" i="7"/>
  <c r="DE179" i="7" s="1"/>
  <c r="J40" i="23"/>
  <c r="J46" i="23"/>
  <c r="J45" i="23"/>
  <c r="BX112" i="7"/>
  <c r="CA112" i="7" s="1"/>
  <c r="CM112" i="7"/>
  <c r="CR112" i="7" s="1"/>
  <c r="BX261" i="7"/>
  <c r="CA261" i="7" s="1"/>
  <c r="CM261" i="7"/>
  <c r="CR261" i="7" s="1"/>
  <c r="CY101" i="7"/>
  <c r="CD260" i="7"/>
  <c r="CC260" i="7"/>
  <c r="CE260" i="7"/>
  <c r="CV101" i="7"/>
  <c r="CW101" i="7"/>
  <c r="CX101" i="7"/>
  <c r="CB260" i="7"/>
  <c r="BT182" i="7"/>
  <c r="BU182" i="7"/>
  <c r="BL182" i="7"/>
  <c r="BM182" i="7"/>
  <c r="BN182" i="7"/>
  <c r="BR182" i="7"/>
  <c r="BQ182" i="7"/>
  <c r="CY167" i="7"/>
  <c r="CY178" i="7"/>
  <c r="CV178" i="7"/>
  <c r="CV167" i="7"/>
  <c r="CW178" i="7"/>
  <c r="CX167" i="7"/>
  <c r="CX178" i="7"/>
  <c r="CW167" i="7"/>
  <c r="BB261" i="7"/>
  <c r="BA182" i="7"/>
  <c r="AZ183" i="7"/>
  <c r="AY264" i="7"/>
  <c r="BV103" i="7"/>
  <c r="BV113" i="7"/>
  <c r="BV109" i="7"/>
  <c r="BV110" i="7"/>
  <c r="BV104" i="7"/>
  <c r="BV106" i="7"/>
  <c r="BV111" i="7"/>
  <c r="BV105" i="7"/>
  <c r="BA112" i="7"/>
  <c r="AZ110" i="7"/>
  <c r="AZ111" i="7"/>
  <c r="AZ109" i="7"/>
  <c r="AZ106" i="7"/>
  <c r="AZ113" i="7"/>
  <c r="AZ103" i="7"/>
  <c r="AZ104" i="7"/>
  <c r="AZ105" i="7"/>
  <c r="CK261" i="7" l="1"/>
  <c r="DC261" i="7"/>
  <c r="DD179" i="7"/>
  <c r="DF179" i="7" s="1"/>
  <c r="DE260" i="7"/>
  <c r="DD260" i="7"/>
  <c r="BX111" i="7"/>
  <c r="CA111" i="7" s="1"/>
  <c r="CM111" i="7"/>
  <c r="CR111" i="7" s="1"/>
  <c r="BX106" i="7"/>
  <c r="CA106" i="7" s="1"/>
  <c r="CM106" i="7"/>
  <c r="CR106" i="7" s="1"/>
  <c r="I44" i="23" s="1"/>
  <c r="BX113" i="7"/>
  <c r="CA113" i="7" s="1"/>
  <c r="CM113" i="7"/>
  <c r="CR113" i="7" s="1"/>
  <c r="BX104" i="7"/>
  <c r="CA104" i="7" s="1"/>
  <c r="CM104" i="7"/>
  <c r="CR104" i="7" s="1"/>
  <c r="BX110" i="7"/>
  <c r="CA110" i="7" s="1"/>
  <c r="CM110" i="7"/>
  <c r="CR110" i="7" s="1"/>
  <c r="I50" i="23" s="1"/>
  <c r="BZ182" i="7"/>
  <c r="CO182" i="7"/>
  <c r="CT182" i="7" s="1"/>
  <c r="BX109" i="7"/>
  <c r="CA109" i="7" s="1"/>
  <c r="CM109" i="7"/>
  <c r="CR109" i="7" s="1"/>
  <c r="I47" i="23" s="1"/>
  <c r="BX103" i="7"/>
  <c r="CA103" i="7" s="1"/>
  <c r="CM103" i="7"/>
  <c r="CR103" i="7" s="1"/>
  <c r="BX105" i="7"/>
  <c r="CA105" i="7" s="1"/>
  <c r="CM105" i="7"/>
  <c r="CR105" i="7" s="1"/>
  <c r="CD261" i="7"/>
  <c r="CF260" i="7"/>
  <c r="CP260" i="7" s="1"/>
  <c r="CU260" i="7" s="1"/>
  <c r="CC261" i="7"/>
  <c r="CE261" i="7"/>
  <c r="BV182" i="7"/>
  <c r="CM182" i="7" s="1"/>
  <c r="CR182" i="7" s="1"/>
  <c r="CB261" i="7"/>
  <c r="BO182" i="7"/>
  <c r="BR183" i="7"/>
  <c r="BQ183" i="7"/>
  <c r="BU183" i="7"/>
  <c r="BT183" i="7"/>
  <c r="BM183" i="7"/>
  <c r="BN183" i="7"/>
  <c r="BL183" i="7"/>
  <c r="CY179" i="7"/>
  <c r="CX179" i="7"/>
  <c r="CV179" i="7"/>
  <c r="CW179" i="7"/>
  <c r="BB182" i="7"/>
  <c r="AZ264" i="7"/>
  <c r="BA183" i="7"/>
  <c r="BB112" i="7"/>
  <c r="DC112" i="7" s="1"/>
  <c r="BA110" i="7"/>
  <c r="BA111" i="7"/>
  <c r="BA109" i="7"/>
  <c r="BA106" i="7"/>
  <c r="BA113" i="7"/>
  <c r="BA104" i="7"/>
  <c r="BA103" i="7"/>
  <c r="BA105" i="7"/>
  <c r="DF260" i="7" l="1"/>
  <c r="CK182" i="7"/>
  <c r="DC182" i="7"/>
  <c r="DE261" i="7"/>
  <c r="DD261" i="7"/>
  <c r="DE112" i="7"/>
  <c r="DD112" i="7"/>
  <c r="I41" i="23"/>
  <c r="G41" i="23"/>
  <c r="I42" i="23"/>
  <c r="G42" i="23"/>
  <c r="N11" i="23"/>
  <c r="I39" i="23" s="1"/>
  <c r="I43" i="23"/>
  <c r="BZ183" i="7"/>
  <c r="CO183" i="7"/>
  <c r="CT183" i="7" s="1"/>
  <c r="BY182" i="7"/>
  <c r="CD182" i="7" s="1"/>
  <c r="CN182" i="7"/>
  <c r="CS182" i="7" s="1"/>
  <c r="CD112" i="7"/>
  <c r="CK112" i="7"/>
  <c r="CB182" i="7"/>
  <c r="CF261" i="7"/>
  <c r="CP261" i="7" s="1"/>
  <c r="CU261" i="7" s="1"/>
  <c r="CE182" i="7"/>
  <c r="CC112" i="7"/>
  <c r="CE112" i="7"/>
  <c r="BX182" i="7"/>
  <c r="BV183" i="7"/>
  <c r="CM183" i="7" s="1"/>
  <c r="CR183" i="7" s="1"/>
  <c r="CB112" i="7"/>
  <c r="BR264" i="7"/>
  <c r="BQ264" i="7"/>
  <c r="BM264" i="7"/>
  <c r="BL264" i="7"/>
  <c r="BN264" i="7"/>
  <c r="BO183" i="7"/>
  <c r="BU264" i="7"/>
  <c r="BT264" i="7"/>
  <c r="CY260" i="7"/>
  <c r="CW260" i="7"/>
  <c r="CV260" i="7"/>
  <c r="CX260" i="7"/>
  <c r="BB183" i="7"/>
  <c r="BA264" i="7"/>
  <c r="BB103" i="7"/>
  <c r="DC103" i="7" s="1"/>
  <c r="BB104" i="7"/>
  <c r="DC104" i="7" s="1"/>
  <c r="BB113" i="7"/>
  <c r="BB109" i="7"/>
  <c r="DC109" i="7" s="1"/>
  <c r="BB105" i="7"/>
  <c r="DC105" i="7" s="1"/>
  <c r="BB106" i="7"/>
  <c r="DC106" i="7" s="1"/>
  <c r="BB110" i="7"/>
  <c r="DC110" i="7" s="1"/>
  <c r="BB111" i="7"/>
  <c r="DC111" i="7" s="1"/>
  <c r="DF261" i="7" l="1"/>
  <c r="CK183" i="7"/>
  <c r="DC183" i="7"/>
  <c r="DD103" i="7"/>
  <c r="DE103" i="7"/>
  <c r="DD111" i="7"/>
  <c r="DE111" i="7"/>
  <c r="DE110" i="7"/>
  <c r="DD110" i="7"/>
  <c r="DD106" i="7"/>
  <c r="DE106" i="7"/>
  <c r="DE109" i="7"/>
  <c r="DD109" i="7"/>
  <c r="CK113" i="7"/>
  <c r="DC113" i="7"/>
  <c r="DF112" i="7"/>
  <c r="DE105" i="7"/>
  <c r="DD105" i="7"/>
  <c r="DE104" i="7"/>
  <c r="DD104" i="7"/>
  <c r="CC182" i="7"/>
  <c r="CF182" i="7" s="1"/>
  <c r="CP182" i="7" s="1"/>
  <c r="CU182" i="7" s="1"/>
  <c r="CA182" i="7"/>
  <c r="DE182" i="7" s="1"/>
  <c r="BY183" i="7"/>
  <c r="CD183" i="7" s="1"/>
  <c r="CN183" i="7"/>
  <c r="CS183" i="7" s="1"/>
  <c r="CD111" i="7"/>
  <c r="CK111" i="7"/>
  <c r="BZ264" i="7"/>
  <c r="CO264" i="7"/>
  <c r="CT264" i="7" s="1"/>
  <c r="CD104" i="7"/>
  <c r="CK104" i="7"/>
  <c r="CD103" i="7"/>
  <c r="CK103" i="7"/>
  <c r="CD110" i="7"/>
  <c r="CK110" i="7"/>
  <c r="CD106" i="7"/>
  <c r="CK106" i="7"/>
  <c r="CD105" i="7"/>
  <c r="CK105" i="7"/>
  <c r="CD109" i="7"/>
  <c r="CK109" i="7"/>
  <c r="CB183" i="7"/>
  <c r="CF112" i="7"/>
  <c r="CP112" i="7" s="1"/>
  <c r="CU112" i="7" s="1"/>
  <c r="CE113" i="7"/>
  <c r="CD113" i="7"/>
  <c r="CC113" i="7"/>
  <c r="CC111" i="7"/>
  <c r="CE111" i="7"/>
  <c r="CC106" i="7"/>
  <c r="CE106" i="7"/>
  <c r="CC110" i="7"/>
  <c r="CE110" i="7"/>
  <c r="CC105" i="7"/>
  <c r="CE105" i="7"/>
  <c r="CC104" i="7"/>
  <c r="CE104" i="7"/>
  <c r="CC109" i="7"/>
  <c r="CE109" i="7"/>
  <c r="CC103" i="7"/>
  <c r="CE103" i="7"/>
  <c r="CE183" i="7"/>
  <c r="BX183" i="7"/>
  <c r="BV264" i="7"/>
  <c r="CM264" i="7" s="1"/>
  <c r="CR264" i="7" s="1"/>
  <c r="CB113" i="7"/>
  <c r="CB110" i="7"/>
  <c r="CB103" i="7"/>
  <c r="CB106" i="7"/>
  <c r="CB105" i="7"/>
  <c r="CB109" i="7"/>
  <c r="CB104" i="7"/>
  <c r="CB111" i="7"/>
  <c r="BO264" i="7"/>
  <c r="CX261" i="7"/>
  <c r="CV261" i="7"/>
  <c r="CW261" i="7"/>
  <c r="CY261" i="7"/>
  <c r="BB264" i="7"/>
  <c r="DF109" i="7" l="1"/>
  <c r="DD182" i="7"/>
  <c r="DF182" i="7" s="1"/>
  <c r="CK264" i="7"/>
  <c r="DC264" i="7"/>
  <c r="DF105" i="7"/>
  <c r="DF104" i="7"/>
  <c r="DF106" i="7"/>
  <c r="DF103" i="7"/>
  <c r="DF110" i="7"/>
  <c r="DE113" i="7"/>
  <c r="DD113" i="7"/>
  <c r="DF111" i="7"/>
  <c r="CC183" i="7"/>
  <c r="CF183" i="7" s="1"/>
  <c r="CP183" i="7" s="1"/>
  <c r="CU183" i="7" s="1"/>
  <c r="CA183" i="7"/>
  <c r="DD183" i="7" s="1"/>
  <c r="J50" i="23"/>
  <c r="J11" i="23"/>
  <c r="BY264" i="7"/>
  <c r="CD264" i="7" s="1"/>
  <c r="CN264" i="7"/>
  <c r="CS264" i="7" s="1"/>
  <c r="CB264" i="7"/>
  <c r="CF111" i="7"/>
  <c r="CP111" i="7" s="1"/>
  <c r="CU111" i="7" s="1"/>
  <c r="CF105" i="7"/>
  <c r="CP105" i="7" s="1"/>
  <c r="CU105" i="7" s="1"/>
  <c r="CF103" i="7"/>
  <c r="CP103" i="7" s="1"/>
  <c r="CU103" i="7" s="1"/>
  <c r="J41" i="23" s="1"/>
  <c r="CF113" i="7"/>
  <c r="CP113" i="7" s="1"/>
  <c r="CU113" i="7" s="1"/>
  <c r="CF104" i="7"/>
  <c r="CP104" i="7" s="1"/>
  <c r="CU104" i="7" s="1"/>
  <c r="J42" i="23" s="1"/>
  <c r="CF110" i="7"/>
  <c r="CP110" i="7" s="1"/>
  <c r="CU110" i="7" s="1"/>
  <c r="CF109" i="7"/>
  <c r="CP109" i="7" s="1"/>
  <c r="CU109" i="7" s="1"/>
  <c r="J47" i="23" s="1"/>
  <c r="CF106" i="7"/>
  <c r="CP106" i="7" s="1"/>
  <c r="CU106" i="7" s="1"/>
  <c r="J44" i="23" s="1"/>
  <c r="CE264" i="7"/>
  <c r="BX264" i="7"/>
  <c r="CX182" i="7"/>
  <c r="CV112" i="7"/>
  <c r="CY112" i="7"/>
  <c r="CW182" i="7"/>
  <c r="CW112" i="7"/>
  <c r="CV182" i="7"/>
  <c r="CY182" i="7"/>
  <c r="CX112" i="7"/>
  <c r="DE183" i="7" l="1"/>
  <c r="DF183" i="7" s="1"/>
  <c r="DF113" i="7"/>
  <c r="CC264" i="7"/>
  <c r="CF264" i="7" s="1"/>
  <c r="CP264" i="7" s="1"/>
  <c r="CU264" i="7" s="1"/>
  <c r="CA264" i="7"/>
  <c r="DE264" i="7" s="1"/>
  <c r="O11" i="23"/>
  <c r="J39" i="23" s="1"/>
  <c r="J43" i="23"/>
  <c r="CX110" i="7"/>
  <c r="CV103" i="7"/>
  <c r="CX109" i="7"/>
  <c r="CV104" i="7"/>
  <c r="CV106" i="7"/>
  <c r="CX111" i="7"/>
  <c r="CV105" i="7"/>
  <c r="CV183" i="7"/>
  <c r="CV113" i="7"/>
  <c r="CW183" i="7"/>
  <c r="CW110" i="7"/>
  <c r="CY110" i="7"/>
  <c r="CW111" i="7"/>
  <c r="CV110" i="7"/>
  <c r="CW103" i="7"/>
  <c r="CW113" i="7"/>
  <c r="CX103" i="7"/>
  <c r="CW104" i="7"/>
  <c r="CY106" i="7"/>
  <c r="CY183" i="7"/>
  <c r="CW109" i="7"/>
  <c r="CX104" i="7"/>
  <c r="CX106" i="7"/>
  <c r="CX105" i="7"/>
  <c r="CX183" i="7"/>
  <c r="CV109" i="7"/>
  <c r="CY113" i="7"/>
  <c r="CW106" i="7"/>
  <c r="CY111" i="7"/>
  <c r="CV111" i="7"/>
  <c r="CY105" i="7"/>
  <c r="CX113" i="7"/>
  <c r="CY109" i="7"/>
  <c r="CW105" i="7"/>
  <c r="CY104" i="7"/>
  <c r="CY103" i="7"/>
  <c r="DD264" i="7" l="1"/>
  <c r="DF264" i="7" s="1"/>
  <c r="CY264" i="7"/>
  <c r="CW264" i="7"/>
  <c r="CX264" i="7"/>
  <c r="CV26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B3D5C708-B6ED-47CF-91ED-77311869070A}">
      <text>
        <r>
          <rPr>
            <sz val="9"/>
            <color indexed="81"/>
            <rFont val="Tahoma"/>
            <family val="2"/>
          </rPr>
          <t>2019-09-18 / Tobias: Only #N/A (German: #NV) will result in the third state of the checkboxes in the forms. The code should not be changed.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Loga</author>
  </authors>
  <commentList>
    <comment ref="A1" authorId="0" shapeId="0" xr:uid="{5908EF17-4DB8-4E1E-AB73-BC65C406B00B}">
      <text>
        <r>
          <rPr>
            <b/>
            <sz val="8"/>
            <color indexed="81"/>
            <rFont val="Tahoma"/>
            <family val="2"/>
          </rPr>
          <t>Explanations for this Sheet</t>
        </r>
        <r>
          <rPr>
            <sz val="8"/>
            <color indexed="81"/>
            <rFont val="Tahoma"/>
            <family val="2"/>
          </rPr>
          <t xml:space="preserve">
The TABULA plausibility control of envelope areas refers to "EU.01" as a standard. This dataset is reflecting the envelope area analysis of all buildings included in this database. 
In general, national input is not required here. In case that you want to use the calculation tables of this workbook for own purposes you can add a further parameter set and change the reference in the sheet "Tab.Building". </t>
        </r>
      </text>
    </comment>
  </commentList>
</comments>
</file>

<file path=xl/sharedStrings.xml><?xml version="1.0" encoding="utf-8"?>
<sst xmlns="http://schemas.openxmlformats.org/spreadsheetml/2006/main" count="7717" uniqueCount="2432">
  <si>
    <t>Code_U_Class_Constr</t>
  </si>
  <si>
    <t>DE.Gen.01</t>
  </si>
  <si>
    <t>DE.Gen.02</t>
  </si>
  <si>
    <t>DE.Gen.03</t>
  </si>
  <si>
    <t>DE.Gen.04</t>
  </si>
  <si>
    <t>DE.Gen.05</t>
  </si>
  <si>
    <t>DE.Gen.06</t>
  </si>
  <si>
    <t>DE.Gen.07</t>
  </si>
  <si>
    <t>DE.Gen.08</t>
  </si>
  <si>
    <t>DE.Gen.09</t>
  </si>
  <si>
    <t>DE.Gen.10</t>
  </si>
  <si>
    <t>DE.Gen.11</t>
  </si>
  <si>
    <t>DE.Gen.12</t>
  </si>
  <si>
    <t>Code_StatusDataset</t>
  </si>
  <si>
    <t>Typology</t>
  </si>
  <si>
    <t>Code_Country</t>
  </si>
  <si>
    <t>DE</t>
  </si>
  <si>
    <t>Code_U_Class_Constr_National</t>
  </si>
  <si>
    <t>Gen</t>
  </si>
  <si>
    <t>Number_U_Class_Constr_National</t>
  </si>
  <si>
    <t>Description_U_Class_Constr</t>
  </si>
  <si>
    <t>Remark_U_Class_Constr</t>
  </si>
  <si>
    <t>source: Kurzverfahren Energieprofil (Simplified Energy Profile Procedure), IWU 2005</t>
  </si>
  <si>
    <t>from definition of exemplary new buildings for German typology (terraced house, gas+sol)</t>
  </si>
  <si>
    <t>dummy values, to be determined</t>
  </si>
  <si>
    <t>Code_ConstructionYearClass</t>
  </si>
  <si>
    <t>ConstructionYearClass_FirstYear</t>
  </si>
  <si>
    <t>ConstructionYearClass_LastYear</t>
  </si>
  <si>
    <t>U_Class_Roof_Massive</t>
  </si>
  <si>
    <t>U_Class_Roof_Wooden</t>
  </si>
  <si>
    <t>U_Class_UpperCeiling_Massive</t>
  </si>
  <si>
    <t>U_Class_UpperCeiling_Wooden</t>
  </si>
  <si>
    <t>U_Class_Wall_Massive</t>
  </si>
  <si>
    <t>U_Class_Wall_Wooden</t>
  </si>
  <si>
    <t>U_Class_Floor_Massive</t>
  </si>
  <si>
    <t>U_Class_Floor_Wooden</t>
  </si>
  <si>
    <t>Date_Entry</t>
  </si>
  <si>
    <t>Date_Change</t>
  </si>
  <si>
    <t>Note_DataBaseAdmin</t>
  </si>
  <si>
    <t>Year_Building_Calc</t>
  </si>
  <si>
    <t>Year_Building</t>
  </si>
  <si>
    <t>_NA_</t>
  </si>
  <si>
    <t>cm</t>
  </si>
  <si>
    <t>ohne Wärmeschutz-Mod</t>
  </si>
  <si>
    <t>Dämmstärke</t>
  </si>
  <si>
    <t>W/(m·K)</t>
  </si>
  <si>
    <t>W/(m²K)</t>
  </si>
  <si>
    <t>m²K/W</t>
  </si>
  <si>
    <t>R_Original</t>
  </si>
  <si>
    <t>R_Insulation</t>
  </si>
  <si>
    <t>U_eff</t>
  </si>
  <si>
    <t>U_Insulated</t>
  </si>
  <si>
    <t>R_Sum_Insulated</t>
  </si>
  <si>
    <t>Wärmeschutz-Mod ab 2016; unbekannter Art</t>
  </si>
  <si>
    <t>Wärmeschutz-Mod bekannt und gleicher U-Wert wie eins drüber, nur 75% gedämmt</t>
  </si>
  <si>
    <t>Wärmeschutz-Mod bekannt gleiche Dämmstärke wie eins drüber, 100% gedämmt</t>
  </si>
  <si>
    <t>Code_InsulationType</t>
  </si>
  <si>
    <t>Code_MeasureType</t>
  </si>
  <si>
    <t>Refurbish</t>
  </si>
  <si>
    <t>Add</t>
  </si>
  <si>
    <t>Indicator_Constr_Massive</t>
  </si>
  <si>
    <t>Indicator_Constr_Wood</t>
  </si>
  <si>
    <t>Year_Refurbishment</t>
  </si>
  <si>
    <t>U_Original</t>
  </si>
  <si>
    <t>B</t>
  </si>
  <si>
    <t>C</t>
  </si>
  <si>
    <t>InspectionOnsite</t>
  </si>
  <si>
    <t>DesignData</t>
  </si>
  <si>
    <t>DesignDataPlusQA</t>
  </si>
  <si>
    <t>Lambda_Insulation_Calc</t>
  </si>
  <si>
    <t>NoDataSource</t>
  </si>
  <si>
    <t>RelativeUncertainty_Level_A</t>
  </si>
  <si>
    <t>RelativeUncertainty_Level_B</t>
  </si>
  <si>
    <t>RelativeUncertainty_Level_C</t>
  </si>
  <si>
    <t>RelativeUncertainty_Level_D</t>
  </si>
  <si>
    <t>Unit_AbsoluteUncertainty</t>
  </si>
  <si>
    <t>AbsoluteUncertainty_Level_A</t>
  </si>
  <si>
    <t>AbsoluteUncertainty_Level_B</t>
  </si>
  <si>
    <t>AbsoluteUncertainty_Level_C</t>
  </si>
  <si>
    <t>AbsoluteUncertainty_Level_D</t>
  </si>
  <si>
    <t>MUH</t>
  </si>
  <si>
    <t>mit bekannter Wärmeschutz-Mod, Angabe Flächenanteil 50%</t>
  </si>
  <si>
    <t>mit bekannter Wärmeschutz-Mod, Angabe Flächenanteil 100%</t>
  </si>
  <si>
    <t>Wärmeschutz-Mod bekannt gleiche Dämmstärke wie eins drüber, 100% gedämmt, Planungsdaten</t>
  </si>
  <si>
    <t>Wärmeschutz-Mod bekannt gleiche Dämmstärke wie eins drüber, 100% gedämmt, Planungsdaten + QS</t>
  </si>
  <si>
    <t>Wärmeschutz-Mod bekannt, Lambda unbekannt, gleiche Dämmstärke wie eins drüber, 100% gedämmt</t>
  </si>
  <si>
    <t>Wärmeschutz-Mod bekannt, Lambda unbekannt, gleiche Dämmstärke wie eins drüber, 75% gedämmt</t>
  </si>
  <si>
    <t>Code_UncertaintyOfInputQuantity</t>
  </si>
  <si>
    <t>Code_InputQuantity</t>
  </si>
  <si>
    <t>Index_Version</t>
  </si>
  <si>
    <t>Code of the energy balance input quantity</t>
  </si>
  <si>
    <t>Uncertainty level A</t>
  </si>
  <si>
    <t>Uncertainty level B</t>
  </si>
  <si>
    <t>Uncertainty level C</t>
  </si>
  <si>
    <t>Uncertainty level D</t>
  </si>
  <si>
    <t>VarChar</t>
  </si>
  <si>
    <t>Integer</t>
  </si>
  <si>
    <t>Text</t>
  </si>
  <si>
    <t>Real</t>
  </si>
  <si>
    <t>A_Envelope</t>
  </si>
  <si>
    <t>Thermal envelope surface area of the building</t>
  </si>
  <si>
    <t>Expert estimation</t>
  </si>
  <si>
    <t>U_Window</t>
  </si>
  <si>
    <t>U-value of windows (surface area weighted average)</t>
  </si>
  <si>
    <t>DeltaU_ThermalBridging</t>
  </si>
  <si>
    <t>Supplement to the heat transfer coefficient by transmission, considering the effect of thermal bridging</t>
  </si>
  <si>
    <t>1/h</t>
  </si>
  <si>
    <t>theta_i</t>
  </si>
  <si>
    <t>Internal temperature</t>
  </si>
  <si>
    <t>K</t>
  </si>
  <si>
    <t>HDD_Climate</t>
  </si>
  <si>
    <t>Heating degree days, representing external temperatures</t>
  </si>
  <si>
    <t>A_Aperture_PassiveSolar_EquivalentSouth</t>
  </si>
  <si>
    <t>Equivalent South aperture area of windows, fictive South oriented area receiving the same amount of solar radiation as is actually coming through the windows in the heating season (solar heat load during heating season divided by solar irradation on 1 m² vertical South oriented area during heating season); considering reduction of solar transmission by window frame, reflexion, absorption, non-optimal orientation (deviation from vertical South) and shading</t>
  </si>
  <si>
    <t>I_Sol</t>
  </si>
  <si>
    <t>Solar global radiation</t>
  </si>
  <si>
    <t>phi_int</t>
  </si>
  <si>
    <t>Internal heat load by electrical appliances</t>
  </si>
  <si>
    <t>eta_ve_rec</t>
  </si>
  <si>
    <t>Heat recovered by heat exchanger of ventilation system</t>
  </si>
  <si>
    <t>q_w_nd</t>
  </si>
  <si>
    <t>DHW heat need</t>
  </si>
  <si>
    <t>e_SysH</t>
  </si>
  <si>
    <t>Energy expenditure factor heating system</t>
  </si>
  <si>
    <t>e_SysW</t>
  </si>
  <si>
    <t>Energy expenditure factor DHW system</t>
  </si>
  <si>
    <t>Explanation_Uncertainty_Level_A</t>
  </si>
  <si>
    <t>Explanation_Uncertainty_Level_B</t>
  </si>
  <si>
    <t>Explanation_Uncertainty_Level_C</t>
  </si>
  <si>
    <t>Explanation_Uncertainty_Level_D</t>
  </si>
  <si>
    <t>d_Insulation</t>
  </si>
  <si>
    <t>f_Insulation</t>
  </si>
  <si>
    <t>Insulation available; insulation thickness unknown</t>
  </si>
  <si>
    <t>Standard estimate of thermal conductivity of insulation, differentiated by construction period of the building</t>
  </si>
  <si>
    <t>Wall</t>
  </si>
  <si>
    <t>U_Class_Massive</t>
  </si>
  <si>
    <t>U_Class_Wooden</t>
  </si>
  <si>
    <t>d_Insulation_Default_AppliedBetweenRafters</t>
  </si>
  <si>
    <t>d_Insulation_Default_FlatRoofMassive</t>
  </si>
  <si>
    <t>d_Insulation_Default_TopCeiling</t>
  </si>
  <si>
    <t>d_Insulation_Default_BorderingCellar</t>
  </si>
  <si>
    <t>d_Insulation_Default_BorderingSoil</t>
  </si>
  <si>
    <t>Lambda_Insulation_Default_AppliedBetweenRafters</t>
  </si>
  <si>
    <t>Lambda_Insulation_Default_FlatRoofMassive</t>
  </si>
  <si>
    <t>Lambda_Insulation_Default_TopCeiling</t>
  </si>
  <si>
    <t>Lambda_Insulation_Default_BorderingCellar</t>
  </si>
  <si>
    <t>Lambda_Insulation_Default_BorderingSoil</t>
  </si>
  <si>
    <t>Index_Tab_InsulationDefault</t>
  </si>
  <si>
    <t>d_Insulation_Default</t>
  </si>
  <si>
    <t>Lambda_Insulation_Default</t>
  </si>
  <si>
    <t>Code_ConstructionElement</t>
  </si>
  <si>
    <t>d_Insulation_Default_Wall_External</t>
  </si>
  <si>
    <t>d_Insulation_Default_Wall_Internal</t>
  </si>
  <si>
    <t>Lambda_Insulation_Default_Wall_External</t>
  </si>
  <si>
    <t>Lambda_Insulation_Default_WallInternal</t>
  </si>
  <si>
    <t>Wall_External</t>
  </si>
  <si>
    <t>f_Measure_Default_Roof</t>
  </si>
  <si>
    <t>f_Measure_Default_TopCeiling</t>
  </si>
  <si>
    <t>f_Measure_Default_Wall</t>
  </si>
  <si>
    <t>f_Measure_Default_Floor</t>
  </si>
  <si>
    <t>Description</t>
  </si>
  <si>
    <t>Explanation_Uncertainty_Level</t>
  </si>
  <si>
    <t>RelativeUncertainty_Level</t>
  </si>
  <si>
    <t>Index_Period_Building</t>
  </si>
  <si>
    <t>f_Measure_Default</t>
  </si>
  <si>
    <t>Code_Insulation_ImplementationType</t>
  </si>
  <si>
    <t>Code_InsulationType_Calc</t>
  </si>
  <si>
    <t>None</t>
  </si>
  <si>
    <t>Code_MeasureType_Calc</t>
  </si>
  <si>
    <t>Year_Refurbishment_NA</t>
  </si>
  <si>
    <t>Year_Building_NA</t>
  </si>
  <si>
    <t>Year_Insulation_Calc</t>
  </si>
  <si>
    <t>nur Baualtersklasse Gebäude bekannt</t>
  </si>
  <si>
    <t>Baualtersklasse Gebäude und alles andere unbekannt</t>
  </si>
  <si>
    <t>Construction year of the building unknown</t>
  </si>
  <si>
    <t>Insulation thickness</t>
  </si>
  <si>
    <t>Insulation thickness determined by inspection onsite / record or statement of owner</t>
  </si>
  <si>
    <t>Insulation thickness from design data</t>
  </si>
  <si>
    <t>AbsoluteUncertainty_Level</t>
  </si>
  <si>
    <t>Resulting relative uncertainty</t>
  </si>
  <si>
    <t>Insulation available; no information about material</t>
  </si>
  <si>
    <t>Thermal conductivity of Insulation determined by inspection onsite / record or statement of owner</t>
  </si>
  <si>
    <t>Thermal conductivity of insulation from design data</t>
  </si>
  <si>
    <t>Lambda_Insulation</t>
  </si>
  <si>
    <t>Insulation fraction from design data</t>
  </si>
  <si>
    <t>Insulation fraction from design data, quality assured</t>
  </si>
  <si>
    <t>Insulation thickness from design data, quality assured</t>
  </si>
  <si>
    <t>Neubau, keine weiteren Angaben</t>
  </si>
  <si>
    <t>Functional</t>
  </si>
  <si>
    <t>Manual</t>
  </si>
  <si>
    <t>RecordsStatementOwner</t>
  </si>
  <si>
    <t>Total</t>
  </si>
  <si>
    <t>U_Unc_Upper</t>
  </si>
  <si>
    <t>U_Unc_Lower</t>
  </si>
  <si>
    <t>Delta_RelUnc_U_Eff</t>
  </si>
  <si>
    <t>U_Original_Calc</t>
  </si>
  <si>
    <t>DateTime_Current</t>
  </si>
  <si>
    <t>Parameter-Variation: f_Measure</t>
  </si>
  <si>
    <t>Parameter-Variation: d_Insulation</t>
  </si>
  <si>
    <t>Parameter-Variation: U_Original</t>
  </si>
  <si>
    <t>Parameter-Variation: Lambda_Insulation_Effective</t>
  </si>
  <si>
    <t>Parameter-Variation: f_Insulation</t>
  </si>
  <si>
    <t>Parameter-Variation: Code_DataSources</t>
  </si>
  <si>
    <t xml:space="preserve">Parameter-Variation: all input = </t>
  </si>
  <si>
    <t>Original</t>
  </si>
  <si>
    <t>Parameter-Variation: Not refurbished / U_Original</t>
  </si>
  <si>
    <t>Thermal conductivity of insulation from design data, quality assured</t>
  </si>
  <si>
    <t>U_PreCalc</t>
  </si>
  <si>
    <t>Unknown if insulation has been applied (default fraction value is the average insulation fraction for all buildings)</t>
  </si>
  <si>
    <t>Code_Period</t>
  </si>
  <si>
    <t>Description_1</t>
  </si>
  <si>
    <t>Description_2</t>
  </si>
  <si>
    <t>Generic construction periods Germany - first year</t>
  </si>
  <si>
    <t>Generic construction periods Germany - last year</t>
  </si>
  <si>
    <t>d_Insulation_Calc</t>
  </si>
  <si>
    <t>U_Class_NA</t>
  </si>
  <si>
    <t>U_Effective</t>
  </si>
  <si>
    <t>Date</t>
  </si>
  <si>
    <t>Standard estimate of U-value assigned differentiated by construction period and other criteria (not refurbished)</t>
  </si>
  <si>
    <t xml:space="preserve">Standard estimate of insulated fraction, differentiated by construction period of the building; additional functional condition: minimum of tabled value, f_Insulation and (1-f_Insulation) </t>
  </si>
  <si>
    <t>Standard estimate of insulation thickness, differentiated by year of implementation; relevant is the minimum derived from the respective relative and absolute uncertainty</t>
  </si>
  <si>
    <t>Year_Period_01</t>
  </si>
  <si>
    <t>Year_Period_02</t>
  </si>
  <si>
    <t>Year_Period_03</t>
  </si>
  <si>
    <t>Year_Period_04</t>
  </si>
  <si>
    <t>Year_Period_05</t>
  </si>
  <si>
    <t>Year_Period_06</t>
  </si>
  <si>
    <t>Year_Period_07</t>
  </si>
  <si>
    <t>Year_Period_08</t>
  </si>
  <si>
    <t>Year_Period_09</t>
  </si>
  <si>
    <t>Year_Period_10</t>
  </si>
  <si>
    <t>Year_Period_11</t>
  </si>
  <si>
    <t>Year_Period_12</t>
  </si>
  <si>
    <t>Year_Period_13</t>
  </si>
  <si>
    <t>Year_Period_14</t>
  </si>
  <si>
    <t>Year_Period_15</t>
  </si>
  <si>
    <t>Year_Period_16</t>
  </si>
  <si>
    <t>Year_Period_17</t>
  </si>
  <si>
    <t>Year_Period_18</t>
  </si>
  <si>
    <t>Year_Period_19</t>
  </si>
  <si>
    <t>Year_Period_20</t>
  </si>
  <si>
    <t>Year_Period_21</t>
  </si>
  <si>
    <t>Year_Period_22</t>
  </si>
  <si>
    <t>Year_Period_23</t>
  </si>
  <si>
    <t>Year_Period_24</t>
  </si>
  <si>
    <t>Year_Period_25</t>
  </si>
  <si>
    <t>Period 01</t>
  </si>
  <si>
    <t>Period 02</t>
  </si>
  <si>
    <t>Period 03</t>
  </si>
  <si>
    <t>Period 04</t>
  </si>
  <si>
    <t>Period 05</t>
  </si>
  <si>
    <t>Period 06</t>
  </si>
  <si>
    <t>Period 07</t>
  </si>
  <si>
    <t>Period 08</t>
  </si>
  <si>
    <t>Period 09</t>
  </si>
  <si>
    <t>Period 10</t>
  </si>
  <si>
    <t>Period 11</t>
  </si>
  <si>
    <t>Period 12</t>
  </si>
  <si>
    <t>Period 13</t>
  </si>
  <si>
    <t>Period 14</t>
  </si>
  <si>
    <t>Period 15</t>
  </si>
  <si>
    <t>Period 16</t>
  </si>
  <si>
    <t>Period 17</t>
  </si>
  <si>
    <t>Period 18</t>
  </si>
  <si>
    <t>Period 19</t>
  </si>
  <si>
    <t>Period 20</t>
  </si>
  <si>
    <t>Period 21</t>
  </si>
  <si>
    <t>Period 22</t>
  </si>
  <si>
    <t>Period 23</t>
  </si>
  <si>
    <t>Period 24</t>
  </si>
  <si>
    <t>Period 25</t>
  </si>
  <si>
    <t>Date of entry into database</t>
  </si>
  <si>
    <t>Date of last change</t>
  </si>
  <si>
    <t>Note or advice by database administration</t>
  </si>
  <si>
    <t>Implemented / necessary / recommended changes</t>
  </si>
  <si>
    <t>Annotations / sources</t>
  </si>
  <si>
    <t>First or last year of the period</t>
  </si>
  <si>
    <t>DE.Gen.First.01</t>
  </si>
  <si>
    <t>DE.Gen.Last.01</t>
  </si>
  <si>
    <t>Dataset ID</t>
  </si>
  <si>
    <t>Insulation applied between rafters / wood beams</t>
  </si>
  <si>
    <t>Insulation appled on a flat roof (massive construction)</t>
  </si>
  <si>
    <t>Insulation appled on the top ceiling (attic not conditioned)</t>
  </si>
  <si>
    <t>External insulation of walls (Insulation appled from the outside)</t>
  </si>
  <si>
    <t>Internal insulation of walls (Insulation appled from the inside)</t>
  </si>
  <si>
    <t>Insulation appled on walls or ceilings bordering at unconditioned basement spaces</t>
  </si>
  <si>
    <t>Insulation appled on walls or ceilings bordering at soil</t>
  </si>
  <si>
    <t>Description_d_Insulation_Default_1</t>
  </si>
  <si>
    <t>Description_d_Insulation_Default_2</t>
  </si>
  <si>
    <t>Default value for the nominal insulation thickness in cm; assigned to installation period</t>
  </si>
  <si>
    <t>Nominal Insulation thickness / default value</t>
  </si>
  <si>
    <t>Effective thermal conductivity / default value (definition: nominal insulation thickness divided by the thermal resistance of the insulation measure)</t>
  </si>
  <si>
    <t>Explanation_Lambda_Insulation_Default_1</t>
  </si>
  <si>
    <t>Default value for the effective thermal conductivity of insulation in W/(m·K); assigned to installation period</t>
  </si>
  <si>
    <t>Roof surface</t>
  </si>
  <si>
    <t>Top ceiling (unconditioned attic)</t>
  </si>
  <si>
    <t>Walls</t>
  </si>
  <si>
    <t>Floor / cellar ceiling</t>
  </si>
  <si>
    <t>Refurbished area fraction of the respective construction element / default value for situations specified in the description of each dataset</t>
  </si>
  <si>
    <t>Data derived from survey 2016 / residential buildings Germany</t>
  </si>
  <si>
    <t>Data derived from survey 2016 / residential buildings Germany / refurbished area fraction of the respective construction element, related to the entirety of single-unit housing (SUH)</t>
  </si>
  <si>
    <t>Data derived from survey 2016 / residential buildings Germany / refurbished area fraction of the respective construction element, related to the entirety of multi-unit housing (MUH)</t>
  </si>
  <si>
    <t>Default U-values of unrefurbished constructions (residential buildings in Germany)</t>
  </si>
  <si>
    <t>Code_f_Measure_Default</t>
  </si>
  <si>
    <t>Code_Insulation_Default</t>
  </si>
  <si>
    <t>Condition: insulation has been applied during refurbishment; the period is the time of the refurbishment</t>
  </si>
  <si>
    <t>Condition: No information about insulation measures / single-unit housing (SUH): the period ist that of the building construction</t>
  </si>
  <si>
    <t>Condition: no information about insulation measures / multi-unit housing (MUH); the period ist that of the building construction</t>
  </si>
  <si>
    <t>Uncertainty level</t>
  </si>
  <si>
    <t>Data derived from evaluation of example buildings and constructions from local and regional typologies; national project MOBASY 2017 … 2022</t>
  </si>
  <si>
    <t>Settings</t>
  </si>
  <si>
    <t>Info</t>
  </si>
  <si>
    <t>Visibility input Fields</t>
  </si>
  <si>
    <t>code of the national construction year period for U-value typification</t>
  </si>
  <si>
    <t>code of the dataset status</t>
  </si>
  <si>
    <t>ISO 3166-1-alpha-2 code</t>
  </si>
  <si>
    <t>code of the national U-value typification version</t>
  </si>
  <si>
    <t>serial number = identical with national construction year class</t>
  </si>
  <si>
    <t>internal remark (sources etc.)</t>
  </si>
  <si>
    <t>construction year of the building (or first year of the construction period)</t>
  </si>
  <si>
    <t>construction year of the building (or last year of the construction period)</t>
  </si>
  <si>
    <t>Roof</t>
  </si>
  <si>
    <t>Upper Ceiling</t>
  </si>
  <si>
    <t>Floor</t>
  </si>
  <si>
    <t>date of entry into database</t>
  </si>
  <si>
    <t>date of last change</t>
  </si>
  <si>
    <t>note or advice by database administration</t>
  </si>
  <si>
    <t>used for dataset ID (free entry without blanks, standard code "Gen" = Generic)</t>
  </si>
  <si>
    <t>consecutive numbers, starting with 1</t>
  </si>
  <si>
    <t>default</t>
  </si>
  <si>
    <t>massive (structures of masonry, concrete, steel, ...)</t>
  </si>
  <si>
    <t>wooden (structures of timber frame, wooden beams / rafters, ...)</t>
  </si>
  <si>
    <t>wooden (wooden beam ceilings , ...)</t>
  </si>
  <si>
    <t>wooden (structures of timber frame, wooden beams, lightweight elements, ...)</t>
  </si>
  <si>
    <t>implemented / necessary / recommended changes</t>
  </si>
  <si>
    <t>Tab.Const.StatusDataset</t>
  </si>
  <si>
    <t>Tab.Const.Country</t>
  </si>
  <si>
    <t>Tab.ConstrYearClass</t>
  </si>
  <si>
    <t>Tab.Type.Building</t>
  </si>
  <si>
    <t>Template</t>
  </si>
  <si>
    <t>##</t>
  </si>
  <si>
    <t>Development</t>
  </si>
  <si>
    <t>MOBASY</t>
  </si>
  <si>
    <t>PL</t>
  </si>
  <si>
    <t>source: TABULA Final Report / Appendix Volume / Evaluation of U-values</t>
  </si>
  <si>
    <t>2013-03-22 / IWU: values should be validated by national typology caretaker (and updated if necessary)</t>
  </si>
  <si>
    <t>SE</t>
  </si>
  <si>
    <t>RS</t>
  </si>
  <si>
    <t>according to the national typology</t>
  </si>
  <si>
    <t>according to the national typology (Regulations on technical measures and conditions for building thermal protection, 1970)</t>
  </si>
  <si>
    <t>according to the national regulations (JUS U.J5.600, 1980)</t>
  </si>
  <si>
    <t>according to the national regulations (JUS U.J5.600, 1987)</t>
  </si>
  <si>
    <t xml:space="preserve">according to the national regulations (Pravilnik o energetskoj efikasnosti zgrada („Službeni glasnik RS”, broj 61/11); Pravilnik o uslovima, sadržini i načinu izdavanja sertifikata o energetskim svojstvima zgrada („Službeni glasnik RS”, broj 69/12)
</t>
  </si>
  <si>
    <t>IT</t>
  </si>
  <si>
    <t>GB</t>
  </si>
  <si>
    <t>SAP 2009</t>
  </si>
  <si>
    <t>CY</t>
  </si>
  <si>
    <t>IE</t>
  </si>
  <si>
    <t>SI</t>
  </si>
  <si>
    <t>CZ</t>
  </si>
  <si>
    <t>AT</t>
  </si>
  <si>
    <t>HU</t>
  </si>
  <si>
    <t>BE</t>
  </si>
  <si>
    <t>ES</t>
  </si>
  <si>
    <t>2013-03-22 / IWU: please supplement typical values</t>
  </si>
  <si>
    <t>FR</t>
  </si>
  <si>
    <t>DK</t>
  </si>
  <si>
    <t>2013-11-25 / IWU: Please, enter default values if possible</t>
  </si>
  <si>
    <t>GR</t>
  </si>
  <si>
    <t>according to KENAK</t>
  </si>
  <si>
    <t>Code_d_Insulation_Default_National</t>
  </si>
  <si>
    <t>Index_d_Insulation_Default_National</t>
  </si>
  <si>
    <t>Default value for the nominal insulation thickness in cm; assigned to installation period (refurbishments)</t>
  </si>
  <si>
    <t>Data for refurbishments after 2001 derived from survey 2016</t>
  </si>
  <si>
    <t>Code_f_Measure_National_Basic</t>
  </si>
  <si>
    <t>Code_f_Measure_National_Specification</t>
  </si>
  <si>
    <t>Index_f_Measure_National</t>
  </si>
  <si>
    <t>used for dataset ID (free entry without blanks, standard code "Default")</t>
  </si>
  <si>
    <t>used for dataset ID (free entry without blanks, standard code "Gen.NA" = Generic / building type not specified + renovation state of the building unknown)</t>
  </si>
  <si>
    <t>Default</t>
  </si>
  <si>
    <t>Gen.NA</t>
  </si>
  <si>
    <t>Gen.Refurbished</t>
  </si>
  <si>
    <t>SUH.NA</t>
  </si>
  <si>
    <t>MUH.NA</t>
  </si>
  <si>
    <t>RelativeUncertainty_Level_E</t>
  </si>
  <si>
    <t>AbsoluteUncertainty_Level_E</t>
  </si>
  <si>
    <t>Explanation_Uncertainty_Level_E</t>
  </si>
  <si>
    <t>Relative uncertainty of the quantity (modelled by symmetrical distribution)</t>
  </si>
  <si>
    <t>Unit of the absolute uncertainty</t>
  </si>
  <si>
    <t>Absolute uncertainty of the quantity (modelled by symmetrical distribution)</t>
  </si>
  <si>
    <t>Uncertainty level E</t>
  </si>
  <si>
    <t>Variable</t>
  </si>
  <si>
    <t>Calculation of thermal envelope area, based on design data, quality assured</t>
  </si>
  <si>
    <t>Calculation of thermal envelope area, based on design data</t>
  </si>
  <si>
    <t>Inspection onsite / record or statement of owner / buildings with 3 or more storeys if input is available about number of storeys AND number of directly attached neighbour buildings</t>
  </si>
  <si>
    <t>Inspection onsite / record or statement of owner / all buildings not included in "C" if at least input is available about number of storeys OR number of directly attached neighbour buildings</t>
  </si>
  <si>
    <t>No or insufficient information about thermal envelope area or geometrical features (cases not included in A to D)</t>
  </si>
  <si>
    <t xml:space="preserve">Pre-calculated U-value; alternative manual input </t>
  </si>
  <si>
    <t>Pre-calculated U-value, taking into account the different layers of actually used materials; thickness, thermal conductivity and area fraction of layers from design data; quality assured</t>
  </si>
  <si>
    <t>Pre-calculated U-value, taking into account the different layers of actually used materials; thickness, thermal conductivity and area fraction of layers from design data</t>
  </si>
  <si>
    <t>Pre-calculated U-value, taking into account the installed insulation materials; thickness, area fraction and material type of insulation layers determined by inspection onsite / record or statement of owner</t>
  </si>
  <si>
    <t>U-value assigned by construction period (building or construction typology)</t>
  </si>
  <si>
    <t xml:space="preserve">No information about construction </t>
  </si>
  <si>
    <t xml:space="preserve">U-value calculation available based on information about layers of actual construction </t>
  </si>
  <si>
    <t>Use of default values; building constructed from 1995</t>
  </si>
  <si>
    <t>Use of default values; building constructed between 1983 and 1994</t>
  </si>
  <si>
    <t>Use of default values; building constructed until 1983</t>
  </si>
  <si>
    <t>Insulation fraction determined by inspection onsite / record or statement of owner</t>
  </si>
  <si>
    <t>Insulation has been applied, but no information about insulation fraction (default fraction value is the average insulation fraction for all insulated buildings)</t>
  </si>
  <si>
    <t>Insulation available; insulation thickness and year of implementation unknown</t>
  </si>
  <si>
    <t>Insulation available; no information about material and year of implementation</t>
  </si>
  <si>
    <t>Design data, U-value calculation for each single new window, certified by producer, quality assured</t>
  </si>
  <si>
    <t>Design data, U-value calculation for standard window size</t>
  </si>
  <si>
    <t>Inspection onsite / record or statement of owner (with exeption of the two special cases mentioned at level "D")</t>
  </si>
  <si>
    <t>Inspection onsite / record or statement of owner -&gt; two special cases: (a) windows with 2 panes installed during period 1969 … 1978 without information about frame; (b) windows installed during period 1995 … 2001 without information about low-e-coating</t>
  </si>
  <si>
    <t>No information about energy quality of the windows / old building (building constructed until 1978)</t>
  </si>
  <si>
    <t>Heat flow calculations of constructive and geometrical thermal bridges are part of the design data; implementation is quality assured</t>
  </si>
  <si>
    <t>Heat flow calculations of constructive and geometrical thermal bridges are part of the design data OR new buildings constructed as of 2002 with classification of thermal bridging</t>
  </si>
  <si>
    <t>Classification of thermal bridging on the basis of onsite inspection OR new buildings constructed as of 2002 without information about thermal bridging</t>
  </si>
  <si>
    <t>Classification of thermal bridging on the basis of record / statement of building owner is available</t>
  </si>
  <si>
    <t>No information about situation of thermal bridging</t>
  </si>
  <si>
    <t>Code_ConstructionBorder</t>
  </si>
  <si>
    <t>R_Add_UnheatedSpace</t>
  </si>
  <si>
    <t>b_Transmission</t>
  </si>
  <si>
    <t>Name_ConstructionBorder</t>
  </si>
  <si>
    <t>Description_ConstructionBorder</t>
  </si>
  <si>
    <t>Name_ConstructionBorder_GER</t>
  </si>
  <si>
    <t>Description_ConstructionBorder_GER</t>
  </si>
  <si>
    <t>code of the construction border situation</t>
  </si>
  <si>
    <t>additional thermal resistance due to unheated space bodering at the construction element</t>
  </si>
  <si>
    <t>adjustment factor soil</t>
  </si>
  <si>
    <t>name of the construction border situation</t>
  </si>
  <si>
    <t>description of the construction border situation</t>
  </si>
  <si>
    <t>standard values in m²K/W:
0       external air
0,3   unheated space
0,3   unheated cellar
0      soil</t>
  </si>
  <si>
    <t>standard values:
1       external air
1       unheated space
0,5    unheated cellar
0,5    soil</t>
  </si>
  <si>
    <t>Ext</t>
  </si>
  <si>
    <t>external air</t>
  </si>
  <si>
    <t>construction bordering on external air</t>
  </si>
  <si>
    <t>Außenluft</t>
  </si>
  <si>
    <t>Bauteil grenzt an Außenluft</t>
  </si>
  <si>
    <t>Unh</t>
  </si>
  <si>
    <t>unheated space</t>
  </si>
  <si>
    <t xml:space="preserve">construction bordering on unheated rooms (e.g. unheated attic) </t>
  </si>
  <si>
    <t>unbeheizte Räume</t>
  </si>
  <si>
    <t>Bauteil grenzt an unbeheizte Räume (z.B. unbeheizte Dachräume)</t>
  </si>
  <si>
    <t>Cellar</t>
  </si>
  <si>
    <t>unheated cellar</t>
  </si>
  <si>
    <t>construction bordering on unheated cellar</t>
  </si>
  <si>
    <t>unbeheizter Keller</t>
  </si>
  <si>
    <t>Bauteil grenzt an unbeheizte Kellerräume</t>
  </si>
  <si>
    <t>Soil</t>
  </si>
  <si>
    <t>soil</t>
  </si>
  <si>
    <t>construction bordering on soil</t>
  </si>
  <si>
    <t>Erdreich</t>
  </si>
  <si>
    <t>Bauteil grenzt an Erdreich</t>
  </si>
  <si>
    <t>DE.MOBASY</t>
  </si>
  <si>
    <t>f_Insulation_Calc</t>
  </si>
  <si>
    <t>Code_Type_f_Measure_Default_ByPeriodMeasure</t>
  </si>
  <si>
    <t>Index_Tab_f_Insulation_Measure_Default_ByPeriodMeasure</t>
  </si>
  <si>
    <t>f_Measure_Default_ByPeriodMeasure</t>
  </si>
  <si>
    <t>Code_Type_f_Measure_Default_ByPeriodBuilding</t>
  </si>
  <si>
    <t>Index_Tab_f_Insulation_Measure_Default_ByPeriodBuilding</t>
  </si>
  <si>
    <t>f_Measure_Default_ByPeriodBuilding</t>
  </si>
  <si>
    <t>DE.Gen.U_Original.01</t>
  </si>
  <si>
    <t>DE.Gen.U_PreCalc.01</t>
  </si>
  <si>
    <t>DE.Gen.d_Insulation.01</t>
  </si>
  <si>
    <t>DE.Gen.Lambda_Insulation.01</t>
  </si>
  <si>
    <t>DE.Gen.f_Insulation.01</t>
  </si>
  <si>
    <t>##.Gen.Variable.01</t>
  </si>
  <si>
    <t>DE.Gen.A_Envelope.01</t>
  </si>
  <si>
    <t>Determined in the framework of the MOBASY project 2020/2021: Expert estimation</t>
  </si>
  <si>
    <t>Determined in the framework of the MOBASY project 2020/2021: Derived from analyses of exemplary constructions or buildings (typology data)</t>
  </si>
  <si>
    <t>Determined in the framework of the MOBASY project 2020/2021: Values for cases, "D" and "E" derived from the results of a survey (residential buildings Germany 2016); expert estimation for "A", "B" and "C"</t>
  </si>
  <si>
    <t>Determined in the framework of the MOBASY project 2020/2021: Values for cases "C", "D" and "E" derived from the results of a survey (residential buildings Germany 2016); expert estimation for "A" and "B"</t>
  </si>
  <si>
    <t>DE.Gen.U_Window.01</t>
  </si>
  <si>
    <t>Determined in the framework of the MOBASY project 2020/2021: Values for cases "C", "D" and "E" derived from statistical data from German window industry and from the 2016 survey (residential buildings Germany 2016); expert estimation for "A" and "B"</t>
  </si>
  <si>
    <t>DE.Gen.DeltaU_ThermalBridging.01</t>
  </si>
  <si>
    <t>No information on window opening or air exchange rate</t>
  </si>
  <si>
    <t>No information on window opening or air exchange rate + no information about availability of mechanical ventilation</t>
  </si>
  <si>
    <t>DE.Gen.n_Air_HeatLosses.01</t>
  </si>
  <si>
    <t>n_Air_HeatLosses</t>
  </si>
  <si>
    <t>Effective Air exchange rate, responsible for heat losses, caused by opening of windows and doors, by infiltration and by the not recovered fraction of mechanical ventilation</t>
  </si>
  <si>
    <t>Object-related measurements of window and door opening in heating period (systematically determined e.g. as part of scientific monitoring) and (in case of a ventilation system) of the air flow (or settings and operation modes) of the mechanical ventilation</t>
  </si>
  <si>
    <t>Object-related measured window opening of lower quality (e.g. for periods without taking heating days into account) and (in case of a ventilation system) of the settings and operation modes of the mechanical ventilation</t>
  </si>
  <si>
    <t>Information from residents about window opening and (if available) about operation modes of the mechanical ventilation</t>
  </si>
  <si>
    <t>DE.Gen.theta_i.01</t>
  </si>
  <si>
    <t>Determined in the framework of the MOBASY project 2020/2021: Values for cases "C", "D" and "E" derived from documentation of research projects; expert estimation for "A" and "B"</t>
  </si>
  <si>
    <t>Object-related measured room temperatures in heating period (systematically determined e.g. as part of scientific monitoring)</t>
  </si>
  <si>
    <t xml:space="preserve">Object-related measured room temperatures of lower quality (e.g. for periods without taking heating days into account) </t>
  </si>
  <si>
    <t>Information from residents on heating behaviour (thermometer readings, thermostat settings, night set-back, …)</t>
  </si>
  <si>
    <t>No information on room temperatures or heating behaviour</t>
  </si>
  <si>
    <t>No information about use and no information about energy quality of the building</t>
  </si>
  <si>
    <t>DE.Gen.HDD_Climate.01</t>
  </si>
  <si>
    <t>On-site measurements of external temperatures (averaging interval &lt;= 1 day) + deduction of average temperatures and number of heating days for the respective year (systematically determined e.g. as part of scientific monitoring)</t>
  </si>
  <si>
    <t>Data measured by local weather station in the respective year (assignment of datasets e.g. by postcode or geographical coordindates); average air temperature during heating period and length of heating period determined on the basis of average daily temperatures</t>
  </si>
  <si>
    <t>(1) Data measured by local weather station in several years (long-term average, assignment of datasets e.g. by postcode or geographical coordinates); (2) national or regional climate data of the respective year</t>
  </si>
  <si>
    <t xml:space="preserve">Regional or national standard climate (long-term average), height difference between climate station and location of building is typically below 500 m </t>
  </si>
  <si>
    <t xml:space="preserve">Regional or national standard climate (long-term average), height difference between climate station and location of building is likely to exceed 500 m </t>
  </si>
  <si>
    <t>DE.Gen.I_Sol.01</t>
  </si>
  <si>
    <t>On-site measurements of global radiation in combination with temperature measurements (averaging interval &lt;= 1 day) + deduction of global radiation during heating season (systematically determined e.g. as part of scientific monitoring)</t>
  </si>
  <si>
    <t>Data measured by local weather station or high resolution satellite data in the respective year (assignment of datasets e.g. by geographical coordinates or postcode); average global radiation during heating season determined on the basis of average daily global radiation and average daily temperatures</t>
  </si>
  <si>
    <t>DE.Gen.A_Aperture_PassiveSolar_EquivalentSouth.01</t>
  </si>
  <si>
    <t>DE.Gen.phi_int.01</t>
  </si>
  <si>
    <t>DE.Gen.eta_ve_rec.01</t>
  </si>
  <si>
    <t>DE.Gen.q_w_nd.01</t>
  </si>
  <si>
    <t>DE.Gen.e_SysH.01</t>
  </si>
  <si>
    <t>DE.Gen.e_SysW.01</t>
  </si>
  <si>
    <t>Code_Level_Uncertainty_U_Original</t>
  </si>
  <si>
    <t>Explanation_Uncertainty_U_Original</t>
  </si>
  <si>
    <t>Code_Level_Uncertainty_U_PreCalc</t>
  </si>
  <si>
    <t>Explanation_Uncertainty_U_PreCalc</t>
  </si>
  <si>
    <t>RelativeUncertainty_U_PreCalc</t>
  </si>
  <si>
    <t>Code_Level_Uncertainty_d_Insulation</t>
  </si>
  <si>
    <t>Explanation_Uncertainty_d_Insulation</t>
  </si>
  <si>
    <t>RelativeUncertainty_d_Insulation_Calc</t>
  </si>
  <si>
    <t>Code_Level_Uncertainty_Lambda_Insulation</t>
  </si>
  <si>
    <t>Explanation_Uncertainty_Lambda_Insulation</t>
  </si>
  <si>
    <t>Code_Level_Uncertainty_f_Insulation</t>
  </si>
  <si>
    <t>Explanation_Uncertainty_f_Insulation</t>
  </si>
  <si>
    <t>RelativeUncertainty_f_Insulation</t>
  </si>
  <si>
    <t>Delta_RelativeUncertainty_U_Effective_By_d_Insulation</t>
  </si>
  <si>
    <t>Delta_U_Eff_Unc_By_U_Original</t>
  </si>
  <si>
    <t>RelativeUncertainty_U_Eff_Unc_By_U_Original</t>
  </si>
  <si>
    <t>Delta_U_Eff_Unc_By_d_Insulation</t>
  </si>
  <si>
    <t>Delta_U_Eff_Unc_By_Lambda_Insulation</t>
  </si>
  <si>
    <t>Delta_RelativeUncertainty_U_Effective_By_Lambda_Insulation</t>
  </si>
  <si>
    <t>Delta_U_Eff_Unc_By_f_Insulation</t>
  </si>
  <si>
    <t>Delta_RelativeUncertainty_U_Effective_By_f_Insulation</t>
  </si>
  <si>
    <t>RelativeUncertainty_U_Original_Calc</t>
  </si>
  <si>
    <t>Delta_U_Eff_Unc</t>
  </si>
  <si>
    <t>Delta_RelativeUncertainty_U_Effective</t>
  </si>
  <si>
    <t>Relative Uncertainty of the effective U-Value</t>
  </si>
  <si>
    <t>Relative Uncertainty of the original U-Value</t>
  </si>
  <si>
    <t>Relative Uncertainty of the insulation thickness</t>
  </si>
  <si>
    <t>Relative Uncertainty of the insulation fraction</t>
  </si>
  <si>
    <t>Relative Uncertainty of the thermal conductivity</t>
  </si>
  <si>
    <t>f_Relevance_Unc_U_Eff _U_Original</t>
  </si>
  <si>
    <t>f_Relevance_Unc_U_Eff _f_Insulation</t>
  </si>
  <si>
    <t>f_Relevance_Unc_U_Eff _d_Insulation</t>
  </si>
  <si>
    <t>f_Relevance_Unc_U_Eff_Lambda_Insulation</t>
  </si>
  <si>
    <t>Relevance</t>
  </si>
  <si>
    <t>Input data</t>
  </si>
  <si>
    <t>Effective U-value</t>
  </si>
  <si>
    <t>Name_Variable_x_Pic01</t>
  </si>
  <si>
    <t>Tasks</t>
  </si>
  <si>
    <t>Dropdowns --&gt; Change source to "Tab.List.DropDown"</t>
  </si>
  <si>
    <t>ID_Dataset</t>
  </si>
  <si>
    <t>W.A.001</t>
  </si>
  <si>
    <t>W.A.002</t>
  </si>
  <si>
    <t>W.A.003</t>
  </si>
  <si>
    <t>W.A.004</t>
  </si>
  <si>
    <t>W.A.005</t>
  </si>
  <si>
    <t>W.A.006</t>
  </si>
  <si>
    <t>W.A.007</t>
  </si>
  <si>
    <t>W.A.008</t>
  </si>
  <si>
    <t>W.A.009</t>
  </si>
  <si>
    <t>W.A.010</t>
  </si>
  <si>
    <t>W.A.011</t>
  </si>
  <si>
    <t>W.A.012</t>
  </si>
  <si>
    <t>W.A.013</t>
  </si>
  <si>
    <t>W.B.001</t>
  </si>
  <si>
    <t>W.C.001</t>
  </si>
  <si>
    <t>W.C.002</t>
  </si>
  <si>
    <t>W.C.003</t>
  </si>
  <si>
    <t>W.C.004</t>
  </si>
  <si>
    <t>W.C.005</t>
  </si>
  <si>
    <t>W.C.006</t>
  </si>
  <si>
    <t>W.C.007</t>
  </si>
  <si>
    <t>W.C.008</t>
  </si>
  <si>
    <t>W.C.009</t>
  </si>
  <si>
    <t>W.C.010</t>
  </si>
  <si>
    <t>W.C.011</t>
  </si>
  <si>
    <t>W.C.012</t>
  </si>
  <si>
    <t>W.D.001</t>
  </si>
  <si>
    <t>W.D.002</t>
  </si>
  <si>
    <t>W.E.001</t>
  </si>
  <si>
    <t>W.E.002</t>
  </si>
  <si>
    <t>W.E.003</t>
  </si>
  <si>
    <t>W.E.004</t>
  </si>
  <si>
    <t>W.E.005</t>
  </si>
  <si>
    <t>W.E.006</t>
  </si>
  <si>
    <t>W.E.007</t>
  </si>
  <si>
    <t>W.E.008</t>
  </si>
  <si>
    <t>W.E.009</t>
  </si>
  <si>
    <t>W.E.010</t>
  </si>
  <si>
    <t>W.E.011</t>
  </si>
  <si>
    <t>W.E.012</t>
  </si>
  <si>
    <t>W.E.013</t>
  </si>
  <si>
    <t>W.E.014</t>
  </si>
  <si>
    <t>W.E.015</t>
  </si>
  <si>
    <t>W.E.016</t>
  </si>
  <si>
    <t>W.E.017</t>
  </si>
  <si>
    <t>W.E.018</t>
  </si>
  <si>
    <t>W.E.019</t>
  </si>
  <si>
    <t>W.E.020</t>
  </si>
  <si>
    <t>W.E.021</t>
  </si>
  <si>
    <t>W.E.022</t>
  </si>
  <si>
    <t>W.E.023</t>
  </si>
  <si>
    <t>W.E.024</t>
  </si>
  <si>
    <t>W.E.025</t>
  </si>
  <si>
    <t>W.E.026</t>
  </si>
  <si>
    <t>W.E.027</t>
  </si>
  <si>
    <t>W.E.028</t>
  </si>
  <si>
    <t>W.E.029</t>
  </si>
  <si>
    <t>W.E.030</t>
  </si>
  <si>
    <t>W.E.031</t>
  </si>
  <si>
    <t>W.E.032</t>
  </si>
  <si>
    <t>W.E.033</t>
  </si>
  <si>
    <t>W.E.034</t>
  </si>
  <si>
    <t>W.E.035</t>
  </si>
  <si>
    <t>W.E.036</t>
  </si>
  <si>
    <t>W.E.037</t>
  </si>
  <si>
    <t>W.E.038</t>
  </si>
  <si>
    <t>W.E.039</t>
  </si>
  <si>
    <t>W.E.040</t>
  </si>
  <si>
    <t>W.E.041</t>
  </si>
  <si>
    <t>W.E.042</t>
  </si>
  <si>
    <t>W.E.043</t>
  </si>
  <si>
    <t>W.E.044</t>
  </si>
  <si>
    <t>W.E.045</t>
  </si>
  <si>
    <t>W.F.001</t>
  </si>
  <si>
    <t>W.F.002</t>
  </si>
  <si>
    <t>W.F.003</t>
  </si>
  <si>
    <t>W.F.004</t>
  </si>
  <si>
    <t>W.F.005</t>
  </si>
  <si>
    <t>W.F.006</t>
  </si>
  <si>
    <t>W.F.007</t>
  </si>
  <si>
    <t>W.F.008</t>
  </si>
  <si>
    <t>W.F.009</t>
  </si>
  <si>
    <t>W.F.010</t>
  </si>
  <si>
    <t>W.F.011</t>
  </si>
  <si>
    <t>W.F.012</t>
  </si>
  <si>
    <t>W.F.013</t>
  </si>
  <si>
    <t>W.F.014</t>
  </si>
  <si>
    <t>W.F.015</t>
  </si>
  <si>
    <t>W.F.016</t>
  </si>
  <si>
    <t>W.F.017</t>
  </si>
  <si>
    <t>W.F.018</t>
  </si>
  <si>
    <t>W.F.019</t>
  </si>
  <si>
    <t>W.F.020</t>
  </si>
  <si>
    <t>W.F.021</t>
  </si>
  <si>
    <t>W.F.022</t>
  </si>
  <si>
    <t>W.F.023</t>
  </si>
  <si>
    <t>W.F.024</t>
  </si>
  <si>
    <t>W.F.025</t>
  </si>
  <si>
    <t>W.F.026</t>
  </si>
  <si>
    <t>W.F.027</t>
  </si>
  <si>
    <t>W.F.028</t>
  </si>
  <si>
    <t>W.F.029</t>
  </si>
  <si>
    <t>W.F.030</t>
  </si>
  <si>
    <t>W.F.031</t>
  </si>
  <si>
    <t>W.F.032</t>
  </si>
  <si>
    <t>W.F.033</t>
  </si>
  <si>
    <t>W.G.001</t>
  </si>
  <si>
    <t>W.G.002</t>
  </si>
  <si>
    <t>W.G.003</t>
  </si>
  <si>
    <t>W.G.004</t>
  </si>
  <si>
    <t>W.G.005</t>
  </si>
  <si>
    <t>W.G.006</t>
  </si>
  <si>
    <t>W.G.007</t>
  </si>
  <si>
    <t>W.G.008</t>
  </si>
  <si>
    <t>W.G.009</t>
  </si>
  <si>
    <t>W.G.010</t>
  </si>
  <si>
    <t>W.G.011</t>
  </si>
  <si>
    <t>W.G.012</t>
  </si>
  <si>
    <t>W.G.013</t>
  </si>
  <si>
    <t>W.G.014</t>
  </si>
  <si>
    <t>W.G.015</t>
  </si>
  <si>
    <t>W.G.016</t>
  </si>
  <si>
    <t>W.G.017</t>
  </si>
  <si>
    <t>W.G.018</t>
  </si>
  <si>
    <t>W.G.019</t>
  </si>
  <si>
    <t>W.G.020</t>
  </si>
  <si>
    <t>W.G.021</t>
  </si>
  <si>
    <t>W.G.022</t>
  </si>
  <si>
    <t>W.G.023</t>
  </si>
  <si>
    <t>W.G.024</t>
  </si>
  <si>
    <t>W.G.025</t>
  </si>
  <si>
    <t>W.G.026</t>
  </si>
  <si>
    <t>W.G.027</t>
  </si>
  <si>
    <t>W.G.028</t>
  </si>
  <si>
    <t>W.G.029</t>
  </si>
  <si>
    <t>W.G.030</t>
  </si>
  <si>
    <t>W.G.031</t>
  </si>
  <si>
    <t>W.G.032</t>
  </si>
  <si>
    <t>W.G.033</t>
  </si>
  <si>
    <t>W.H.001</t>
  </si>
  <si>
    <t>W.H.002</t>
  </si>
  <si>
    <t>W.H.003</t>
  </si>
  <si>
    <t>W.H.004</t>
  </si>
  <si>
    <t>W.H.005</t>
  </si>
  <si>
    <t>W.H.006</t>
  </si>
  <si>
    <t>W.H.007</t>
  </si>
  <si>
    <t>W.H.008</t>
  </si>
  <si>
    <t>W.H.009</t>
  </si>
  <si>
    <t>W.H.010</t>
  </si>
  <si>
    <t>W.I.001</t>
  </si>
  <si>
    <t>W.I.002</t>
  </si>
  <si>
    <t>W.I.003</t>
  </si>
  <si>
    <t>W.I.004</t>
  </si>
  <si>
    <t>W.J.004</t>
  </si>
  <si>
    <t>Description_01</t>
  </si>
  <si>
    <t>n_Row_Header</t>
  </si>
  <si>
    <t>n_Row_Source_Reference</t>
  </si>
  <si>
    <t>Calc.U.Uncertainty</t>
  </si>
  <si>
    <t>Index_Row_CalcDataset</t>
  </si>
  <si>
    <t>U_Eff</t>
  </si>
  <si>
    <t>U_Original_CalcModel</t>
  </si>
  <si>
    <t>d_Insulation_CalcModel</t>
  </si>
  <si>
    <t>Lambda_Insulation_CalcModel</t>
  </si>
  <si>
    <t>f_Insulation_CalcModel</t>
  </si>
  <si>
    <t>U_Eff_CalcModel</t>
  </si>
  <si>
    <t>RelativeUncertainty_U_Original_CalcModel</t>
  </si>
  <si>
    <t>RelativeUncertainty_d_Insulation_CalcModel</t>
  </si>
  <si>
    <t>RelativeUncertainty_Lambda_Insulation_CalcModel</t>
  </si>
  <si>
    <t>RelativeUncertainty_f_Insulation_CalcModel</t>
  </si>
  <si>
    <t>RelativeUncertainty_U_Eff_CalcModel</t>
  </si>
  <si>
    <t>AbsoluteUncertainty_f_Insulation_TableValue</t>
  </si>
  <si>
    <t>RelativeUncertainty_Lambda_Insulation_TableValue</t>
  </si>
  <si>
    <t>RelativeUncertainty_d_Insulation_TableValue</t>
  </si>
  <si>
    <t>AbsoluteUncertainty_d_Insulation_TableValue</t>
  </si>
  <si>
    <t>RelativeUncertainty_U_Original_TableValue</t>
  </si>
  <si>
    <t>AbsoluteUncertainty_U_Original_CalcModel</t>
  </si>
  <si>
    <t>AbsoluteUncertainty_d_Insulation_CalcModel</t>
  </si>
  <si>
    <t>AbsoluteUncertainty_Lambda_Insulation_CalcModel</t>
  </si>
  <si>
    <t>AbsoluteUncertainty_f_Insulation_CalcModel</t>
  </si>
  <si>
    <t>AbsoluteUncertainty_U_Eff_CalcModel</t>
  </si>
  <si>
    <t>Label_Chart</t>
  </si>
  <si>
    <t>[W/[m²K)]</t>
  </si>
  <si>
    <t>[ ]</t>
  </si>
  <si>
    <t>[cm]</t>
  </si>
  <si>
    <t>[W/[m·K)]</t>
  </si>
  <si>
    <t>Original 
U-value</t>
  </si>
  <si>
    <t>Insulated fraction</t>
  </si>
  <si>
    <t>Thermal conductivity of insulation</t>
  </si>
  <si>
    <t>Resulting 
U-value</t>
  </si>
  <si>
    <t>C.A.001</t>
  </si>
  <si>
    <t>C.A.002</t>
  </si>
  <si>
    <t>C.A.003</t>
  </si>
  <si>
    <t>C.A.004</t>
  </si>
  <si>
    <t>C.A.005</t>
  </si>
  <si>
    <t>C.A.006</t>
  </si>
  <si>
    <t>C.A.007</t>
  </si>
  <si>
    <t>C.A.008</t>
  </si>
  <si>
    <t>C.A.009</t>
  </si>
  <si>
    <t>C.A.010</t>
  </si>
  <si>
    <t>C.A.011</t>
  </si>
  <si>
    <t>National default U-values differentiated by construction year class and construction type</t>
  </si>
  <si>
    <t>##.Gen.01</t>
  </si>
  <si>
    <t>##.01</t>
  </si>
  <si>
    <t>DE.01</t>
  </si>
  <si>
    <t>DE.02</t>
  </si>
  <si>
    <t>DE.03</t>
  </si>
  <si>
    <t>DE.04</t>
  </si>
  <si>
    <t>DE.05</t>
  </si>
  <si>
    <t>DE.06</t>
  </si>
  <si>
    <t>DE.07</t>
  </si>
  <si>
    <t>DE.08</t>
  </si>
  <si>
    <t>DE.09</t>
  </si>
  <si>
    <t>DE.10</t>
  </si>
  <si>
    <t>DE.11</t>
  </si>
  <si>
    <t>DE.12</t>
  </si>
  <si>
    <t>DE.MOBASY.01</t>
  </si>
  <si>
    <t>DE.MOBASY.02</t>
  </si>
  <si>
    <t>DE.MOBASY.03</t>
  </si>
  <si>
    <t>DE.MOBASY.04</t>
  </si>
  <si>
    <t>DE.MOBASY.05</t>
  </si>
  <si>
    <t>DE.MOBASY.06</t>
  </si>
  <si>
    <t>DE.MOBASY.07</t>
  </si>
  <si>
    <t>DE.MOBASY.08</t>
  </si>
  <si>
    <t>DE.MOBASY.09</t>
  </si>
  <si>
    <t>DE.MOBASY.10</t>
  </si>
  <si>
    <t>DE.MOBASY.11</t>
  </si>
  <si>
    <t>DE.MOBASY.12</t>
  </si>
  <si>
    <t>PL.Gen.01</t>
  </si>
  <si>
    <t>PL.01</t>
  </si>
  <si>
    <t>PL.Gen.02</t>
  </si>
  <si>
    <t>PL.02</t>
  </si>
  <si>
    <t>PL.Gen.03</t>
  </si>
  <si>
    <t>PL.03</t>
  </si>
  <si>
    <t>PL.Gen.04</t>
  </si>
  <si>
    <t>PL.04</t>
  </si>
  <si>
    <t>PL.Gen.05</t>
  </si>
  <si>
    <t>PL.05</t>
  </si>
  <si>
    <t>PL.Gen.06</t>
  </si>
  <si>
    <t>PL.06</t>
  </si>
  <si>
    <t>PL.Gen.07</t>
  </si>
  <si>
    <t>PL.07</t>
  </si>
  <si>
    <t>SE.Gen.01</t>
  </si>
  <si>
    <t>SE.01</t>
  </si>
  <si>
    <t>SE.Gen.02</t>
  </si>
  <si>
    <t>SE.02</t>
  </si>
  <si>
    <t>SE.Gen.03</t>
  </si>
  <si>
    <t>SE.03</t>
  </si>
  <si>
    <t>SE.Gen.04</t>
  </si>
  <si>
    <t>SE.04</t>
  </si>
  <si>
    <t>SE.Gen.05</t>
  </si>
  <si>
    <t>SE.05</t>
  </si>
  <si>
    <t>RS.Gen.01</t>
  </si>
  <si>
    <t>RS.01</t>
  </si>
  <si>
    <t>RS.Gen.02</t>
  </si>
  <si>
    <t>RS.02</t>
  </si>
  <si>
    <t>RS.Gen.03</t>
  </si>
  <si>
    <t>RS.03</t>
  </si>
  <si>
    <t>RS.Gen.04</t>
  </si>
  <si>
    <t>RS.04</t>
  </si>
  <si>
    <t>RS.Gen.05</t>
  </si>
  <si>
    <t>RS.05</t>
  </si>
  <si>
    <t>RS.Gen.06</t>
  </si>
  <si>
    <t>RS.06</t>
  </si>
  <si>
    <t>RS.Gen.07</t>
  </si>
  <si>
    <t>RS.07</t>
  </si>
  <si>
    <t>RS.Gen.08</t>
  </si>
  <si>
    <t>RS.08</t>
  </si>
  <si>
    <t>IT.Gen.01</t>
  </si>
  <si>
    <t>IT.01</t>
  </si>
  <si>
    <t>IT.Gen.02</t>
  </si>
  <si>
    <t>IT.02</t>
  </si>
  <si>
    <t>IT.Gen.03</t>
  </si>
  <si>
    <t>IT.03</t>
  </si>
  <si>
    <t>IT.Gen.04</t>
  </si>
  <si>
    <t>IT.04</t>
  </si>
  <si>
    <t>IT.Gen.05</t>
  </si>
  <si>
    <t>IT.05</t>
  </si>
  <si>
    <t>IT.Gen.06</t>
  </si>
  <si>
    <t>IT.06</t>
  </si>
  <si>
    <t>IT.Gen.07</t>
  </si>
  <si>
    <t>IT.07</t>
  </si>
  <si>
    <t>IT.Gen.08</t>
  </si>
  <si>
    <t>IT.08</t>
  </si>
  <si>
    <t>GB.Gen.02</t>
  </si>
  <si>
    <t>GB.02</t>
  </si>
  <si>
    <t>GB.Gen.04</t>
  </si>
  <si>
    <t>GB.04</t>
  </si>
  <si>
    <t>CY.Gen.01</t>
  </si>
  <si>
    <t>CY.01</t>
  </si>
  <si>
    <t>CY.Gen.02</t>
  </si>
  <si>
    <t>CY.02</t>
  </si>
  <si>
    <t>CY.Gen.03</t>
  </si>
  <si>
    <t>CY.03</t>
  </si>
  <si>
    <t>CY.Gen.04</t>
  </si>
  <si>
    <t>CY.04</t>
  </si>
  <si>
    <t>IE.Gen.01</t>
  </si>
  <si>
    <t>IE.01</t>
  </si>
  <si>
    <t>IE.Gen.02</t>
  </si>
  <si>
    <t>IE.02</t>
  </si>
  <si>
    <t>IE.Gen.03</t>
  </si>
  <si>
    <t>IE.03</t>
  </si>
  <si>
    <t>IE.Gen.04</t>
  </si>
  <si>
    <t>IE.04</t>
  </si>
  <si>
    <t>IE.Gen.05</t>
  </si>
  <si>
    <t>IE.05</t>
  </si>
  <si>
    <t>SI.Gen.01</t>
  </si>
  <si>
    <t>SI.01</t>
  </si>
  <si>
    <t>SI.Gen.02</t>
  </si>
  <si>
    <t>SI.02</t>
  </si>
  <si>
    <t>SI.Gen.03</t>
  </si>
  <si>
    <t>SI.03</t>
  </si>
  <si>
    <t>SI.Gen.04</t>
  </si>
  <si>
    <t>SI.04</t>
  </si>
  <si>
    <t>SI.Gen.05</t>
  </si>
  <si>
    <t>SI.05</t>
  </si>
  <si>
    <t>CZ.Gen.01</t>
  </si>
  <si>
    <t>CZ.01</t>
  </si>
  <si>
    <t>CZ.Gen.02</t>
  </si>
  <si>
    <t>CZ.02</t>
  </si>
  <si>
    <t>CZ.Gen.03</t>
  </si>
  <si>
    <t>CZ.03</t>
  </si>
  <si>
    <t>CZ.Gen.04</t>
  </si>
  <si>
    <t>CZ.04</t>
  </si>
  <si>
    <t>CZ.Gen.05</t>
  </si>
  <si>
    <t>CZ.05</t>
  </si>
  <si>
    <t>CZ.Gen.06</t>
  </si>
  <si>
    <t>CZ.06</t>
  </si>
  <si>
    <t>CZ.Gen.07</t>
  </si>
  <si>
    <t>CZ.07</t>
  </si>
  <si>
    <t>AT.Gen.01</t>
  </si>
  <si>
    <t>AT.01</t>
  </si>
  <si>
    <t>AT.Gen.02</t>
  </si>
  <si>
    <t>AT.02</t>
  </si>
  <si>
    <t>AT.Gen.03</t>
  </si>
  <si>
    <t>AT.03</t>
  </si>
  <si>
    <t>AT.Gen.04</t>
  </si>
  <si>
    <t>AT.04</t>
  </si>
  <si>
    <t>AT.Gen.05</t>
  </si>
  <si>
    <t>AT.05</t>
  </si>
  <si>
    <t>AT.Gen.06</t>
  </si>
  <si>
    <t>AT.06</t>
  </si>
  <si>
    <t>AT.Gen.07</t>
  </si>
  <si>
    <t>AT.07</t>
  </si>
  <si>
    <t>AT.Gen.08</t>
  </si>
  <si>
    <t>AT.08</t>
  </si>
  <si>
    <t>HU.Gen.01</t>
  </si>
  <si>
    <t>HU.01</t>
  </si>
  <si>
    <t>HU.Gen.02</t>
  </si>
  <si>
    <t>HU.02</t>
  </si>
  <si>
    <t>BE.Gen.01</t>
  </si>
  <si>
    <t>BE.01</t>
  </si>
  <si>
    <t>BE.Gen.02</t>
  </si>
  <si>
    <t>BE.02</t>
  </si>
  <si>
    <t>BE.Gen.03</t>
  </si>
  <si>
    <t>BE.03</t>
  </si>
  <si>
    <t>BE.Gen.04</t>
  </si>
  <si>
    <t>BE.04</t>
  </si>
  <si>
    <t>BE.Gen.05</t>
  </si>
  <si>
    <t>BE.05</t>
  </si>
  <si>
    <t>BE.Gen.06</t>
  </si>
  <si>
    <t>BE.06</t>
  </si>
  <si>
    <t>ES.Gen.01</t>
  </si>
  <si>
    <t>ES.01</t>
  </si>
  <si>
    <t>ES.Gen.02</t>
  </si>
  <si>
    <t>ES.02</t>
  </si>
  <si>
    <t>ES.Gen.03</t>
  </si>
  <si>
    <t>ES.03</t>
  </si>
  <si>
    <t>ES.Gen.04</t>
  </si>
  <si>
    <t>ES.04</t>
  </si>
  <si>
    <t>ES.Gen.05</t>
  </si>
  <si>
    <t>ES.05</t>
  </si>
  <si>
    <t>ES.Gen.06</t>
  </si>
  <si>
    <t>ES.06</t>
  </si>
  <si>
    <t>FR.Gen.01</t>
  </si>
  <si>
    <t>FR.01</t>
  </si>
  <si>
    <t>FR.Gen.02</t>
  </si>
  <si>
    <t>FR.02</t>
  </si>
  <si>
    <t>FR.Gen.03</t>
  </si>
  <si>
    <t>FR.03</t>
  </si>
  <si>
    <t>FR.Gen.04</t>
  </si>
  <si>
    <t>FR.04</t>
  </si>
  <si>
    <t>FR.Gen.05</t>
  </si>
  <si>
    <t>FR.05</t>
  </si>
  <si>
    <t>FR.Gen.06</t>
  </si>
  <si>
    <t>FR.06</t>
  </si>
  <si>
    <t>FR.Gen.07</t>
  </si>
  <si>
    <t>FR.07</t>
  </si>
  <si>
    <t>FR.Gen.08</t>
  </si>
  <si>
    <t>FR.08</t>
  </si>
  <si>
    <t>FR.Gen.09</t>
  </si>
  <si>
    <t>FR.09</t>
  </si>
  <si>
    <t>FR.Gen.10</t>
  </si>
  <si>
    <t>FR.10</t>
  </si>
  <si>
    <t>DK.Gen.01</t>
  </si>
  <si>
    <t>DK.01</t>
  </si>
  <si>
    <t>DK.Gen.02</t>
  </si>
  <si>
    <t>DK.02</t>
  </si>
  <si>
    <t>DK.Gen.03</t>
  </si>
  <si>
    <t>DK.03</t>
  </si>
  <si>
    <t>DK.Gen.04</t>
  </si>
  <si>
    <t>DK.04</t>
  </si>
  <si>
    <t>DK.Gen.05</t>
  </si>
  <si>
    <t>DK.05</t>
  </si>
  <si>
    <t>DK.Gen.06</t>
  </si>
  <si>
    <t>DK.06</t>
  </si>
  <si>
    <t>DK.Gen.07</t>
  </si>
  <si>
    <t>DK.07</t>
  </si>
  <si>
    <t>DK.Gen.08</t>
  </si>
  <si>
    <t>DK.08</t>
  </si>
  <si>
    <t>DK.Gen.09</t>
  </si>
  <si>
    <t>DK.09</t>
  </si>
  <si>
    <t>DK.Gen.10</t>
  </si>
  <si>
    <t>DK.10</t>
  </si>
  <si>
    <t>GR.Gen.01</t>
  </si>
  <si>
    <t>GR.01</t>
  </si>
  <si>
    <t>GR.Gen.02</t>
  </si>
  <si>
    <t>GR.02</t>
  </si>
  <si>
    <t>GR.Gen.03</t>
  </si>
  <si>
    <t>GR.03</t>
  </si>
  <si>
    <t>GR.Gen.04</t>
  </si>
  <si>
    <t>GR.04</t>
  </si>
  <si>
    <t>.00</t>
  </si>
  <si>
    <t>Explanation_Lambda_Insulation_Default_2</t>
  </si>
  <si>
    <t>National default values of insulation thickness and thermal conductivity of insulation measures, differentiated by implementation period and construction type; to be used if the actual values are not known for a given construction (usage of these default values increases the uncertainty)</t>
  </si>
  <si>
    <t>National default values of insulation fraction, differentiated by construction type, implementation period; two cases: (a) typical insulation fraction of refurbished construtions (indicator "Refurbished", used if actual insulation fraction is not known for a construction); (b) ratio of insulated to total construction area for the building stock of the specific construction period (indicator "NA", values used to model an average state for constructions of unknown state) - usage of these default values increases the uncertainty</t>
  </si>
  <si>
    <t>##.Default.Gen.NA.01</t>
  </si>
  <si>
    <t>DE.MOBASY.Gen.Refurbished.01</t>
  </si>
  <si>
    <t>DE.MOBASY.Gen.Refurbished.02</t>
  </si>
  <si>
    <t>DE.MOBASY.Gen.Refurbished.03</t>
  </si>
  <si>
    <t>DE.MOBASY.Gen.Refurbished.04</t>
  </si>
  <si>
    <t>DE.MOBASY.Gen.Refurbished.05</t>
  </si>
  <si>
    <t>DE.MOBASY.Gen.Refurbished.06</t>
  </si>
  <si>
    <t>DE.MOBASY.Gen.Refurbished.07</t>
  </si>
  <si>
    <t>DE.MOBASY.Gen.Refurbished.08</t>
  </si>
  <si>
    <t>DE.MOBASY.Gen.Refurbished.09</t>
  </si>
  <si>
    <t>DE.MOBASY.Gen.Refurbished.10</t>
  </si>
  <si>
    <t>DE.MOBASY.Gen.Refurbished.11</t>
  </si>
  <si>
    <t>DE.MOBASY.Gen.Refurbished.12</t>
  </si>
  <si>
    <t>DE.MOBASY.SUH.NA.01</t>
  </si>
  <si>
    <t>DE.MOBASY.SUH.NA.02</t>
  </si>
  <si>
    <t>DE.MOBASY.SUH.NA.03</t>
  </si>
  <si>
    <t>DE.MOBASY.SUH.NA.04</t>
  </si>
  <si>
    <t>DE.MOBASY.SUH.NA.05</t>
  </si>
  <si>
    <t>DE.MOBASY.SUH.NA.06</t>
  </si>
  <si>
    <t>DE.MOBASY.SUH.NA.07</t>
  </si>
  <si>
    <t>DE.MOBASY.SUH.NA.08</t>
  </si>
  <si>
    <t>DE.MOBASY.SUH.NA.09</t>
  </si>
  <si>
    <t>DE.MOBASY.SUH.NA.10</t>
  </si>
  <si>
    <t>DE.MOBASY.SUH.NA.11</t>
  </si>
  <si>
    <t>DE.MOBASY.SUH.NA.12</t>
  </si>
  <si>
    <t>DE.MOBASY.MUH.NA.01</t>
  </si>
  <si>
    <t>DE.MOBASY.MUH.NA.02</t>
  </si>
  <si>
    <t>DE.MOBASY.MUH.NA.03</t>
  </si>
  <si>
    <t>DE.MOBASY.MUH.NA.04</t>
  </si>
  <si>
    <t>DE.MOBASY.MUH.NA.05</t>
  </si>
  <si>
    <t>DE.MOBASY.MUH.NA.06</t>
  </si>
  <si>
    <t>DE.MOBASY.MUH.NA.07</t>
  </si>
  <si>
    <t>DE.MOBASY.MUH.NA.08</t>
  </si>
  <si>
    <t>DE.MOBASY.MUH.NA.09</t>
  </si>
  <si>
    <t>DE.MOBASY.MUH.NA.10</t>
  </si>
  <si>
    <t>DE.MOBASY.MUH.NA.11</t>
  </si>
  <si>
    <t>DE.MOBASY.MUH.NA.12</t>
  </si>
  <si>
    <t>Uncertainty levels: 5 categories of input data uncertainty; one row for each relevant input variable; for each relevant input variable: explanation of each category; quantification of absolute and/or relative uncertainty</t>
  </si>
  <si>
    <t>TopCeiling</t>
  </si>
  <si>
    <t>Description_02</t>
  </si>
  <si>
    <t>Calculation values</t>
  </si>
  <si>
    <t>Uncertainties</t>
  </si>
  <si>
    <t>C.A.012</t>
  </si>
  <si>
    <t>Building from 1960, original | no insulation upgrade</t>
  </si>
  <si>
    <t>Building from 1980, original | no insulation upgrade</t>
  </si>
  <si>
    <t>Building from 2000, original | no insulation upgrade</t>
  </si>
  <si>
    <t>Building from 1960, insulation upgrade in 1990; no information about d and f [values used: average of refurbished buildings*]</t>
  </si>
  <si>
    <t>Building from 1960, no information if insulation upgrade has been performed [values used for f and d: average of all buildings*]</t>
  </si>
  <si>
    <t>*) Data source for default values: residential buildings survey 2016 + supplemental expert estimation</t>
  </si>
  <si>
    <t>Building from 1960, insulation upgrade: d = 16 cm | f = 1.00 | Lambda = 0.035 | design data</t>
  </si>
  <si>
    <t>Building from 1960, insulation upgrade: d = 30 cm | f = 0.50 | Lambda = 0.035 | data from ex-post-elevation</t>
  </si>
  <si>
    <t>Building from 1960, insulation upgrade: d = 30 cm | f = 1.00 | Lambda = 0.035 | data from ex-post-elevation</t>
  </si>
  <si>
    <t>Building from 1960, insulation upgrade: d = 16 cm | f = 1.00 | Lambda = 0.035 | design data with quality assurance</t>
  </si>
  <si>
    <t>Building from 1960, insulation upgrade: d = 4 cm | f = 1.00 | Lambda = 0.045 | data from records</t>
  </si>
  <si>
    <t>Building from 1960, insulation upgrade: d = 16 cm | f = 1.00 | Lambda = 0.035 | data from records</t>
  </si>
  <si>
    <t>Building from 1960, insul. upgr. in 2017 | no information about d and f [values used: average of refurbished buildings*]</t>
  </si>
  <si>
    <t>Formatting of numbers (entries to be changed when system decimal seperator is changed)</t>
  </si>
  <si>
    <t>Date_WorkbookVersion</t>
  </si>
  <si>
    <t>Index</t>
  </si>
  <si>
    <t>Codes</t>
  </si>
  <si>
    <t>Number of Entries</t>
  </si>
  <si>
    <t>Description_ENG</t>
  </si>
  <si>
    <t>Specification_1_ENG</t>
  </si>
  <si>
    <t>Specification_2_ENG</t>
  </si>
  <si>
    <t>Specification_3_ENG</t>
  </si>
  <si>
    <t>Description_GER</t>
  </si>
  <si>
    <t>Specification_1_GER</t>
  </si>
  <si>
    <t>Specification_2_GER</t>
  </si>
  <si>
    <t>Specification_3_GER</t>
  </si>
  <si>
    <t>Text_CopyRange_DescriptionOfDatafield_ENG</t>
  </si>
  <si>
    <t>Text_CopyRange_DescriptionOfDatafield_GER</t>
  </si>
  <si>
    <t>Text_List_Validation</t>
  </si>
  <si>
    <t>Indicator_Boolean</t>
  </si>
  <si>
    <t>"FALSE"</t>
  </si>
  <si>
    <t>"FALSCH"</t>
  </si>
  <si>
    <t>trifft zu</t>
  </si>
  <si>
    <t>"TRUE"</t>
  </si>
  <si>
    <t>"WAHR"</t>
  </si>
  <si>
    <t>trifft nicht zu</t>
  </si>
  <si>
    <t>N/A</t>
  </si>
  <si>
    <t>not available / not applicable</t>
  </si>
  <si>
    <t>k.A.</t>
  </si>
  <si>
    <t>keine Angaben</t>
  </si>
  <si>
    <t>Code_YesNoUnknown</t>
  </si>
  <si>
    <t>Reply Yes-No-Unknown</t>
  </si>
  <si>
    <t>Antwort Ja-Nein-Unbekannt</t>
  </si>
  <si>
    <t>Yes</t>
  </si>
  <si>
    <t>ja</t>
  </si>
  <si>
    <t>No</t>
  </si>
  <si>
    <t>nein</t>
  </si>
  <si>
    <t>Unknown</t>
  </si>
  <si>
    <t>not known</t>
  </si>
  <si>
    <t>unbekannt</t>
  </si>
  <si>
    <t>name of the country, English language</t>
  </si>
  <si>
    <t>name of the country, national language</t>
  </si>
  <si>
    <t>AD</t>
  </si>
  <si>
    <t>Andorra</t>
  </si>
  <si>
    <t>{ Tab.Const.Country: please insert native name of the country }</t>
  </si>
  <si>
    <t>ad.gif</t>
  </si>
  <si>
    <t>AL</t>
  </si>
  <si>
    <t>Albania</t>
  </si>
  <si>
    <t>al.gif</t>
  </si>
  <si>
    <t>Austria</t>
  </si>
  <si>
    <t>Österreich</t>
  </si>
  <si>
    <t>at.gif</t>
  </si>
  <si>
    <t>BA</t>
  </si>
  <si>
    <t>Bosnia and Herzegovina</t>
  </si>
  <si>
    <t>ba.gif</t>
  </si>
  <si>
    <t>Belgium</t>
  </si>
  <si>
    <t>be.gif</t>
  </si>
  <si>
    <t>BG</t>
  </si>
  <si>
    <t>Bulgaria</t>
  </si>
  <si>
    <t>bg.gif</t>
  </si>
  <si>
    <t>BY</t>
  </si>
  <si>
    <t>Belarus</t>
  </si>
  <si>
    <t>by.gif</t>
  </si>
  <si>
    <t>CH</t>
  </si>
  <si>
    <t>Switzerland</t>
  </si>
  <si>
    <t>Suisse / Schweiz</t>
  </si>
  <si>
    <t>ch.gif</t>
  </si>
  <si>
    <t>Cyprus</t>
  </si>
  <si>
    <t>cy.gif</t>
  </si>
  <si>
    <t>Czech Republic</t>
  </si>
  <si>
    <t>cz.gif</t>
  </si>
  <si>
    <t>Germany</t>
  </si>
  <si>
    <t>Deutschland</t>
  </si>
  <si>
    <t>de.gif</t>
  </si>
  <si>
    <t>Denmark</t>
  </si>
  <si>
    <t>dk.gif</t>
  </si>
  <si>
    <t>EE</t>
  </si>
  <si>
    <t>Estonia</t>
  </si>
  <si>
    <t>ee.gif</t>
  </si>
  <si>
    <t>Spain</t>
  </si>
  <si>
    <t>es.gif</t>
  </si>
  <si>
    <t>FI</t>
  </si>
  <si>
    <t>Finland</t>
  </si>
  <si>
    <t>fi.gif</t>
  </si>
  <si>
    <t>FO</t>
  </si>
  <si>
    <t>Faroe Islands</t>
  </si>
  <si>
    <t>fo.gif</t>
  </si>
  <si>
    <t>France</t>
  </si>
  <si>
    <t>fr.gif</t>
  </si>
  <si>
    <t>FX</t>
  </si>
  <si>
    <t>France, Metropolitan</t>
  </si>
  <si>
    <t>fx.gif</t>
  </si>
  <si>
    <t>United Kingdom</t>
  </si>
  <si>
    <t>United Kingdom of Great Britain and Northern Ireland</t>
  </si>
  <si>
    <t>gb.gif</t>
  </si>
  <si>
    <t>GI</t>
  </si>
  <si>
    <t>Gibraltar</t>
  </si>
  <si>
    <t>gi.gif</t>
  </si>
  <si>
    <t>Greece</t>
  </si>
  <si>
    <t>gr.gif</t>
  </si>
  <si>
    <t>HR</t>
  </si>
  <si>
    <t>Croatia</t>
  </si>
  <si>
    <t>hr.gif</t>
  </si>
  <si>
    <t>Hungary</t>
  </si>
  <si>
    <t>hu.gif</t>
  </si>
  <si>
    <t>Ireland</t>
  </si>
  <si>
    <t>ie.gif</t>
  </si>
  <si>
    <t>EC</t>
  </si>
  <si>
    <t>Iceland</t>
  </si>
  <si>
    <t>ec.gif</t>
  </si>
  <si>
    <t>Italy</t>
  </si>
  <si>
    <t>Italia</t>
  </si>
  <si>
    <t>it.gif</t>
  </si>
  <si>
    <t>LI</t>
  </si>
  <si>
    <t>Liechtenstein</t>
  </si>
  <si>
    <t>li.gif</t>
  </si>
  <si>
    <t>LT</t>
  </si>
  <si>
    <t>Lithuania</t>
  </si>
  <si>
    <t>lt.gif</t>
  </si>
  <si>
    <t>LU</t>
  </si>
  <si>
    <t>Luxembourg</t>
  </si>
  <si>
    <t>lu.gif</t>
  </si>
  <si>
    <t>LV</t>
  </si>
  <si>
    <t>Latvia</t>
  </si>
  <si>
    <t>lv.gif</t>
  </si>
  <si>
    <t>MC</t>
  </si>
  <si>
    <t>Monaco</t>
  </si>
  <si>
    <t>mc.gif</t>
  </si>
  <si>
    <t>MD</t>
  </si>
  <si>
    <t>Moldova, Republic of</t>
  </si>
  <si>
    <t>md.gif</t>
  </si>
  <si>
    <t>ME</t>
  </si>
  <si>
    <t>Montenegro</t>
  </si>
  <si>
    <t>me.gif</t>
  </si>
  <si>
    <t>MK</t>
  </si>
  <si>
    <t>Macedonia</t>
  </si>
  <si>
    <t>mk.gif</t>
  </si>
  <si>
    <t>MT</t>
  </si>
  <si>
    <t>Malta</t>
  </si>
  <si>
    <t>mt.gif</t>
  </si>
  <si>
    <t>NL</t>
  </si>
  <si>
    <t>Netherlands</t>
  </si>
  <si>
    <t>nl.gif</t>
  </si>
  <si>
    <t>NO</t>
  </si>
  <si>
    <t>Norway</t>
  </si>
  <si>
    <t>no.gif</t>
  </si>
  <si>
    <t>Poland</t>
  </si>
  <si>
    <t>pl.gif</t>
  </si>
  <si>
    <t>PT</t>
  </si>
  <si>
    <t>Portugal</t>
  </si>
  <si>
    <t>pt.gif</t>
  </si>
  <si>
    <t>RO</t>
  </si>
  <si>
    <t>Romania</t>
  </si>
  <si>
    <t>ro.gif</t>
  </si>
  <si>
    <t>Serbia</t>
  </si>
  <si>
    <t>rs.gif</t>
  </si>
  <si>
    <t>Sweden</t>
  </si>
  <si>
    <t>se.gif</t>
  </si>
  <si>
    <t>Slovenia</t>
  </si>
  <si>
    <t>si.gif</t>
  </si>
  <si>
    <t>SJ</t>
  </si>
  <si>
    <t>Svalbard and Jan Mayen</t>
  </si>
  <si>
    <t>sj.gif</t>
  </si>
  <si>
    <t>SK</t>
  </si>
  <si>
    <t>Slovakia</t>
  </si>
  <si>
    <t>sk.gif</t>
  </si>
  <si>
    <t>SM</t>
  </si>
  <si>
    <t>San Marino</t>
  </si>
  <si>
    <t>sm.gif</t>
  </si>
  <si>
    <t>UA</t>
  </si>
  <si>
    <t>Ukraine</t>
  </si>
  <si>
    <t>ua.gif</t>
  </si>
  <si>
    <t>UK</t>
  </si>
  <si>
    <t>VA</t>
  </si>
  <si>
    <t>Holy See (Vatican City State)</t>
  </si>
  <si>
    <t>va.gif</t>
  </si>
  <si>
    <t>XX</t>
  </si>
  <si>
    <t>Demonstration Country</t>
  </si>
  <si>
    <t>demo.gif</t>
  </si>
  <si>
    <t>EU</t>
  </si>
  <si>
    <t>Europe</t>
  </si>
  <si>
    <t>europeanunion.gif</t>
  </si>
  <si>
    <t>- not specified -</t>
  </si>
  <si>
    <t>empty.gif</t>
  </si>
  <si>
    <t>Code_TypeFloorArea_A_C_Floor_Intake</t>
  </si>
  <si>
    <t>Type of input area</t>
  </si>
  <si>
    <t>Art der Erhebungsfläche</t>
  </si>
  <si>
    <t>A_C_ExtDim</t>
  </si>
  <si>
    <t>Conditioned gross floor area</t>
  </si>
  <si>
    <t>beheizte Bruttogrundfläche</t>
  </si>
  <si>
    <t>A_C_IntDim</t>
  </si>
  <si>
    <t>Conditioned net floor area</t>
  </si>
  <si>
    <t>beheizte Nettogrundfläche</t>
  </si>
  <si>
    <t>A_C_Use</t>
  </si>
  <si>
    <t>Conditioned useful floor area</t>
  </si>
  <si>
    <t>beheizte Nutzfläche</t>
  </si>
  <si>
    <t>A_C_Living</t>
  </si>
  <si>
    <t>Conditioned living area</t>
  </si>
  <si>
    <t>beheizte Wohnfläche</t>
  </si>
  <si>
    <t>A_C_Ref</t>
  </si>
  <si>
    <t>TABULA reference floor area</t>
  </si>
  <si>
    <t>TABULA Referenzfläche</t>
  </si>
  <si>
    <t>Code_BuildingPart_A_C_Floor_Intake</t>
  </si>
  <si>
    <t>Reference of input area</t>
  </si>
  <si>
    <t>Bezug der Erhebungsfläche</t>
  </si>
  <si>
    <t>Building</t>
  </si>
  <si>
    <t>the whole building (conditioned floor area)</t>
  </si>
  <si>
    <t>des gesamten Gebäudes</t>
  </si>
  <si>
    <t>Storey</t>
  </si>
  <si>
    <t>"Storey": one storey (basement / footprint of the building)</t>
  </si>
  <si>
    <t>pro Vollgeschoss</t>
  </si>
  <si>
    <t>Code_AttachedNeighbours</t>
  </si>
  <si>
    <t>Attached neighbour buildings</t>
  </si>
  <si>
    <t>direkt angrenzende Nachbargebäude</t>
  </si>
  <si>
    <t>N0</t>
  </si>
  <si>
    <t>None (detached)</t>
  </si>
  <si>
    <t>keins (freistehend)</t>
  </si>
  <si>
    <t>N1</t>
  </si>
  <si>
    <t>One side (semi-detached)</t>
  </si>
  <si>
    <t>auf einer Seite</t>
  </si>
  <si>
    <t>N2</t>
  </si>
  <si>
    <t>Two sides (terraced)</t>
  </si>
  <si>
    <t>auf zwei Seiten</t>
  </si>
  <si>
    <t>keine Angaben / unbekannt</t>
  </si>
  <si>
    <t>Code_ComplexFootprint</t>
  </si>
  <si>
    <t>Floor shape</t>
  </si>
  <si>
    <t>Grundriss</t>
  </si>
  <si>
    <t>Simple</t>
  </si>
  <si>
    <t>Very compact</t>
  </si>
  <si>
    <t>kompakt</t>
  </si>
  <si>
    <t>Standard</t>
  </si>
  <si>
    <t>Normal</t>
  </si>
  <si>
    <t>normal</t>
  </si>
  <si>
    <t>Complex</t>
  </si>
  <si>
    <t>Complex or extended</t>
  </si>
  <si>
    <t>langgestreckt oder gewinkelt oder komplex</t>
  </si>
  <si>
    <t>Code_AtticCond</t>
  </si>
  <si>
    <t>Attic</t>
  </si>
  <si>
    <t>Relevant is the allocation of the conditioned floor area</t>
  </si>
  <si>
    <t>Dach</t>
  </si>
  <si>
    <t>Relavant ist die Zuordnung der Bezugsfläche</t>
  </si>
  <si>
    <t>-</t>
  </si>
  <si>
    <t>Not available (flat roof or slightly tilted roof)</t>
  </si>
  <si>
    <t>Flachdach oder flach geneigtes Dach (kein Dachgeschoss vorhanden)</t>
  </si>
  <si>
    <t>N</t>
  </si>
  <si>
    <t>Not heated</t>
  </si>
  <si>
    <t>Dachgeschoss unbeheizt</t>
  </si>
  <si>
    <t>P</t>
  </si>
  <si>
    <t>Partly heated</t>
  </si>
  <si>
    <t>Dachgeschoss teilweise beheizt</t>
  </si>
  <si>
    <t>Completely heated</t>
  </si>
  <si>
    <t>Dachgeschoss voll beheizt</t>
  </si>
  <si>
    <t>Code_ComplexRoof</t>
  </si>
  <si>
    <t>Complex geometry of roof area (e.g. dormers)</t>
  </si>
  <si>
    <t>Dachgauben oder andere 
Dachaufbauten vorhanden</t>
  </si>
  <si>
    <t>Simple or standard roof shape</t>
  </si>
  <si>
    <t>einfache bzw. gewöhnliche Dachform</t>
  </si>
  <si>
    <t>Roof with several dormers or other complex shape</t>
  </si>
  <si>
    <t>Dach mit mehreren Gauben oder komplexe Dachform</t>
  </si>
  <si>
    <t>Code_CellarCond</t>
  </si>
  <si>
    <t>Cellar / basement</t>
  </si>
  <si>
    <t>Keller</t>
  </si>
  <si>
    <t>Not available</t>
  </si>
  <si>
    <t>nicht unterkellert</t>
  </si>
  <si>
    <t>Kellergeschoss unbeheizt</t>
  </si>
  <si>
    <t>Kellergeschoss teilweise beheizt</t>
  </si>
  <si>
    <t>Kellergeschoss voll beheizt</t>
  </si>
  <si>
    <t>Type of insulation</t>
  </si>
  <si>
    <t>Art der Dämmung</t>
  </si>
  <si>
    <t>No insulation</t>
  </si>
  <si>
    <t>keine</t>
  </si>
  <si>
    <t>keine Dämmung</t>
  </si>
  <si>
    <t>Insulation installed during construction of building</t>
  </si>
  <si>
    <t>original</t>
  </si>
  <si>
    <t>Dämmung eingebaut bei Errichtung des Gebäudes</t>
  </si>
  <si>
    <t>Refurbishment</t>
  </si>
  <si>
    <t>Insulation installed during refurbishment</t>
  </si>
  <si>
    <t>Modernisierung</t>
  </si>
  <si>
    <t>Dämmung eingebaut bei Modernisierung</t>
  </si>
  <si>
    <t>Tpe of the constructive measure</t>
  </si>
  <si>
    <t>Art der Maßnahme am Bauteil</t>
  </si>
  <si>
    <t>additional</t>
  </si>
  <si>
    <t>additional insulation</t>
  </si>
  <si>
    <t>zusätzlich</t>
  </si>
  <si>
    <t>zusätzliche Dämmung</t>
  </si>
  <si>
    <t>Replace</t>
  </si>
  <si>
    <t>construction replaced</t>
  </si>
  <si>
    <t>existing construction replaced</t>
  </si>
  <si>
    <t>Konstruktion ausgetauscht</t>
  </si>
  <si>
    <t>vorhandene Konstruktion ausgetauscht</t>
  </si>
  <si>
    <t>ReplaceInsulation</t>
  </si>
  <si>
    <t>insulation replaced</t>
  </si>
  <si>
    <t>existing insulation replaced</t>
  </si>
  <si>
    <t>Dämmung ausgetauscht</t>
  </si>
  <si>
    <t>vorhandene Dämmung ausgetauscht</t>
  </si>
  <si>
    <t>Code_Potential_ExternalWallInsulation</t>
  </si>
  <si>
    <t>In case of non-insulated facades: Application of insulation possible?</t>
  </si>
  <si>
    <t>bei ungedämmter Fassade: nachträgliche Dämmung möglich?</t>
  </si>
  <si>
    <t>Possible</t>
  </si>
  <si>
    <t>möglich</t>
  </si>
  <si>
    <t>PartlyPossible</t>
  </si>
  <si>
    <t>Partly</t>
  </si>
  <si>
    <t>Partly Possible</t>
  </si>
  <si>
    <t>teilweise</t>
  </si>
  <si>
    <t>teilweise möglich</t>
  </si>
  <si>
    <t>NotPossible</t>
  </si>
  <si>
    <t>Not Possible</t>
  </si>
  <si>
    <t>nicht möglich</t>
  </si>
  <si>
    <t>Not applicable / unknown</t>
  </si>
  <si>
    <t>k.A. / unbekannt</t>
  </si>
  <si>
    <t>Code_NumberPanes_Window</t>
  </si>
  <si>
    <t>Number of window panes</t>
  </si>
  <si>
    <t>Anzahl der Fensterscheiben</t>
  </si>
  <si>
    <t>1p</t>
  </si>
  <si>
    <t>Single-pane</t>
  </si>
  <si>
    <t>1 Scheibe</t>
  </si>
  <si>
    <t>2p</t>
  </si>
  <si>
    <t>Double-pane</t>
  </si>
  <si>
    <t>2 Scheiben</t>
  </si>
  <si>
    <t>3p</t>
  </si>
  <si>
    <t>Triple-pane</t>
  </si>
  <si>
    <t>3 Scheiben</t>
  </si>
  <si>
    <t>4p</t>
  </si>
  <si>
    <t>Quad-pane</t>
  </si>
  <si>
    <t>4 Scheiben</t>
  </si>
  <si>
    <t>Code_Frame_Window</t>
  </si>
  <si>
    <t>Window frame</t>
  </si>
  <si>
    <t>Fensterrahmen</t>
  </si>
  <si>
    <t>Wood</t>
  </si>
  <si>
    <t>Holzrahmen</t>
  </si>
  <si>
    <t>Plastic</t>
  </si>
  <si>
    <t>Kunststoffrahmen</t>
  </si>
  <si>
    <t>Metal</t>
  </si>
  <si>
    <t>Aluminium / steel</t>
  </si>
  <si>
    <t>Alu- oder Stahlrahmen</t>
  </si>
  <si>
    <t>Other or unknown</t>
  </si>
  <si>
    <t>andere oder unbekannt</t>
  </si>
  <si>
    <t>Code_ThermalBridging</t>
  </si>
  <si>
    <t>Effect of thermal bridging</t>
  </si>
  <si>
    <t>Characteristics</t>
  </si>
  <si>
    <t>Classification criterion: additional transmission losses, if known (related to envelope area, values based on external dimensions)</t>
  </si>
  <si>
    <t>Calculation value: additional transmission losses (related to envelope area, values based on external dimensions) {W/(m²K]</t>
  </si>
  <si>
    <t>Wirkung von Wärmebrücken</t>
  </si>
  <si>
    <t>Merkmale</t>
  </si>
  <si>
    <t>Anhaltspunkte für Einordnung: zusätzliche Transmissionswärmeverluste, wenn bekannt (bezogen auf Hüllfläche, Werte basieren auf Außenmaß)</t>
  </si>
  <si>
    <t>Rechenwert: zusätzliche Transmissionswärmeverluste (bezogen auf Hüllfläche, Werte basieren auf Außenmaß) [W/(m²K]</t>
  </si>
  <si>
    <t>Minimal</t>
  </si>
  <si>
    <t>No penetration of the envelope by constructions with much higher thermal conductivity; for example: (1) envelopes of old buildings without steel or concrete elements (2) best practice new buildings with minimised thermal bridging</t>
  </si>
  <si>
    <t>≤ 0.01 W/(m²K)</t>
  </si>
  <si>
    <t>minimal</t>
  </si>
  <si>
    <t>keine Durchdringungen der Hüllfläche mit Elementen deutlich höhrer Wärmeleitfähigkeit; z.B.: (1) unsanierte Altbauten ohne Stahl- oder Beton-Elemente; (2) Best-Practice-Neubauten mit minimierten Wärmebrücken</t>
  </si>
  <si>
    <t>≤ 0,01 W/(m²K)</t>
  </si>
  <si>
    <t>VeryLow</t>
  </si>
  <si>
    <t>Very low</t>
  </si>
  <si>
    <t>No relevant penetration of the envelope by constructions with much higher thermal conductivity; for example: (1) envelopes of old buildings with few steel or concrete elements (2) best practice modernisations with minimised thermal bridging</t>
  </si>
  <si>
    <t>&gt; 0.01 &amp; ≤ 0.03 W/(m²K)</t>
  </si>
  <si>
    <t>sehr gering</t>
  </si>
  <si>
    <t>keine relevanten Durchdringungen der Hüllfläche mit Elementen deutlich höhrer Wärmeleitfähigkeit; z.B.: (1) unsanierte Altbauten mit nur wenig Stahl- oder Beton-Elementen; (2) Best-Practice-Modernisierungen mit minimierten Wärmebrücken</t>
  </si>
  <si>
    <t>&gt; 0,01 &amp; ≤ 0,03 W/(m²K)</t>
  </si>
  <si>
    <t>Low</t>
  </si>
  <si>
    <t>Envelope is penetrated by constructions with higher thermal conductivity;  effect is not relevant</t>
  </si>
  <si>
    <t>&gt; 0.03 &amp; ≤ 0.07 W/(m²K)</t>
  </si>
  <si>
    <t>gering</t>
  </si>
  <si>
    <t xml:space="preserve">nur geringfügige Durchdringungen von Dämmschichten </t>
  </si>
  <si>
    <t>&gt; 0,03 &amp; ≤ 0,07 W/(m²K)</t>
  </si>
  <si>
    <t>Medium</t>
  </si>
  <si>
    <t>Envelope is penetrated by constructions with much higher thermal conductivity;  effect is relevant; e.g. inside thermal insulation of walls in buildings with timber ceilings</t>
  </si>
  <si>
    <t>&gt; 0.07 &amp; ≤ 0.12 W/(m²K)</t>
  </si>
  <si>
    <t>mittel</t>
  </si>
  <si>
    <t>relevante konstruktive Wärmebrücken; z.B. Innendämmung in Gebäuden mit Holzbalkendecken</t>
  </si>
  <si>
    <t>&gt; 0,07 &amp; ≤ 0,12 W/(m²K)</t>
  </si>
  <si>
    <t>High</t>
  </si>
  <si>
    <t>Penetration of the envelope by constructions with much higher thermal conductivity is very relevant; e.g. concrete ceilings penetrate insulation</t>
  </si>
  <si>
    <t>&gt; 0.12 W/(m²K)</t>
  </si>
  <si>
    <t>hoch</t>
  </si>
  <si>
    <t xml:space="preserve">sehr relevante konstruktive Wärmebrücken; z.B. Beton durchdringt Dämmebene </t>
  </si>
  <si>
    <t>&gt; 0,12 W/(m²K)</t>
  </si>
  <si>
    <t>Code_Infiltration</t>
  </si>
  <si>
    <t>Effect of air infiltration</t>
  </si>
  <si>
    <t>Classification criterion: blower door result n_50, if measured</t>
  </si>
  <si>
    <t>Calulation value: additional average air exchange rate in heating period, caused by infiltration (surcharge on air exchange rate) [1/h]</t>
  </si>
  <si>
    <t>Anhaltspunkte für Einordnung: n_50, sofern Blower-Door-Messung durchgeführt wurde</t>
  </si>
  <si>
    <t>Rechenwert: zusätzlicher mittlerer Luftwechsel in der Heizperiode, bedingt durch Undichtigkeiten [1/h]</t>
  </si>
  <si>
    <t>Very airtight, e.g. massive structures with very tight windows / wooden structures with airtightness concept and verification by blower door test</t>
  </si>
  <si>
    <t>≤ 0.6 1/h</t>
  </si>
  <si>
    <t>sehr luftdicht; z.B. Massivbauten mit massiven Decken und sehr dichten Fenstern / Holzbauten mit Dichtheitskonzept und messtechnischer Überprüfung (Blower-Door-Messung)</t>
  </si>
  <si>
    <t>≤ 0,6 1/h</t>
  </si>
  <si>
    <t>Airtight, e.g. massive structures with tight windows / wooden structures with airtightness concept and verification by blower door test</t>
  </si>
  <si>
    <t>&gt; 0.6 1/h  &amp;  ≤ 1.0 1/h</t>
  </si>
  <si>
    <t>luftdicht; z.B. Massivbauten mit massiven Decken und dichten Fenstern / Holzbauten mit Dichtheitskonzept und messtechnischer Überprüfung (Blower-Door-Messung)</t>
  </si>
  <si>
    <t>&gt; 0,6 1/h  &amp;  ≤ 1,0 1/h</t>
  </si>
  <si>
    <t>Massive constructions without special measures</t>
  </si>
  <si>
    <t>&gt; 1.0 1/h  &amp;  ≤ 3.0 1/h</t>
  </si>
  <si>
    <t>Massivbauten ohne besondere Maßnahmen bzw. Bestand</t>
  </si>
  <si>
    <t>&gt; 1,0 1/h  &amp;  ≤ 3,0 1/h</t>
  </si>
  <si>
    <t>Obvious leakages (e.g. windows without seals, attics without airtight layer)</t>
  </si>
  <si>
    <t>&gt; 3.0 1/h</t>
  </si>
  <si>
    <t>offensichtliche Undichtigkeiten (z.B. bei Fenstern ohne funktionstüchtige Lippendichtungen, bei beheizten Dachgeschossen mit Dachflächen ohne luftdichte Ebene)</t>
  </si>
  <si>
    <t>&gt; 3,0 1/h</t>
  </si>
  <si>
    <t>Not available / not applicable</t>
  </si>
  <si>
    <t>Code_CentralisationType_SysHG</t>
  </si>
  <si>
    <t>Placement of heat generation (predominantly)</t>
  </si>
  <si>
    <t>Standort Wärmeerzeugung überwiegend</t>
  </si>
  <si>
    <t>Block</t>
  </si>
  <si>
    <t>Building block</t>
  </si>
  <si>
    <t>for a building block (shared heating plant)</t>
  </si>
  <si>
    <t>für mehrere Gebäude (Blockheizung)</t>
  </si>
  <si>
    <t>for the building</t>
  </si>
  <si>
    <t>Gebäude</t>
  </si>
  <si>
    <t>für das Gebäude</t>
  </si>
  <si>
    <t>Dwelling</t>
  </si>
  <si>
    <t>separately per dwelling / apartment</t>
  </si>
  <si>
    <t>Wohnung</t>
  </si>
  <si>
    <t>separat je Wohnung</t>
  </si>
  <si>
    <t>Room</t>
  </si>
  <si>
    <t>separately per room</t>
  </si>
  <si>
    <t>Raum</t>
  </si>
  <si>
    <t>separat je Raum</t>
  </si>
  <si>
    <t>Code_Type_EC_Boiler_OilGas</t>
  </si>
  <si>
    <t>Fuel</t>
  </si>
  <si>
    <t>Brennstoff</t>
  </si>
  <si>
    <t>Gas</t>
  </si>
  <si>
    <t>Natural gas</t>
  </si>
  <si>
    <t>Erdgas</t>
  </si>
  <si>
    <t>Oil</t>
  </si>
  <si>
    <t>Heating oil</t>
  </si>
  <si>
    <t>Heizöl</t>
  </si>
  <si>
    <t>Gas_Liquid</t>
  </si>
  <si>
    <t>Fluid gas</t>
  </si>
  <si>
    <t>Flüssiggas</t>
  </si>
  <si>
    <t>Code_BoilerType_OilGas</t>
  </si>
  <si>
    <t>Type of boiler</t>
  </si>
  <si>
    <t>Kesseltyp</t>
  </si>
  <si>
    <t>B_NC_CT</t>
  </si>
  <si>
    <t>Boiler / non-condensing / constant temperature</t>
  </si>
  <si>
    <t>Konstanttemperatur-Kessel</t>
  </si>
  <si>
    <t>B_NC_LT</t>
  </si>
  <si>
    <t>Boiler / non-condensing / low temperature</t>
  </si>
  <si>
    <t>Niedertemperatur-Kessel</t>
  </si>
  <si>
    <t>B_C</t>
  </si>
  <si>
    <t>Condensing boiler</t>
  </si>
  <si>
    <t>Brennwert-Kessel</t>
  </si>
  <si>
    <t>Code_Type_EC_Boiler_Solid</t>
  </si>
  <si>
    <t>Bio_FW</t>
  </si>
  <si>
    <t>Fire wood</t>
  </si>
  <si>
    <t>Scheitholz</t>
  </si>
  <si>
    <t>Bio_WP</t>
  </si>
  <si>
    <t>Pellets</t>
  </si>
  <si>
    <t>Bio_WC</t>
  </si>
  <si>
    <t>Wood chips</t>
  </si>
  <si>
    <t>Holzhackschnitzel</t>
  </si>
  <si>
    <t>Coal</t>
  </si>
  <si>
    <t>Kohle</t>
  </si>
  <si>
    <t>Other</t>
  </si>
  <si>
    <t>andere</t>
  </si>
  <si>
    <t>Code_HeatpumpType</t>
  </si>
  <si>
    <t>Heat source</t>
  </si>
  <si>
    <t>Wärmequelle</t>
  </si>
  <si>
    <t>HP_Air</t>
  </si>
  <si>
    <t>External air</t>
  </si>
  <si>
    <t>HP_Ground</t>
  </si>
  <si>
    <t>Soil / groundwater</t>
  </si>
  <si>
    <t>Erdreich/Grundwasser</t>
  </si>
  <si>
    <t>HP_ExhAir</t>
  </si>
  <si>
    <t>Exhaust air</t>
  </si>
  <si>
    <t>Abluft</t>
  </si>
  <si>
    <t>HP_Cellar</t>
  </si>
  <si>
    <t>Cellar air</t>
  </si>
  <si>
    <t>Kellerluft</t>
  </si>
  <si>
    <t>Code_Type_EC_CHP</t>
  </si>
  <si>
    <t>Bio</t>
  </si>
  <si>
    <t>Bio fuel</t>
  </si>
  <si>
    <t>Bio-Brennstoff</t>
  </si>
  <si>
    <t>Code_Type_EC_Stove</t>
  </si>
  <si>
    <t>Bio_Wood</t>
  </si>
  <si>
    <t>Holz</t>
  </si>
  <si>
    <t>Code_TypeDataSources_EnvelopeLevel</t>
  </si>
  <si>
    <t>Alternative: global or by item</t>
  </si>
  <si>
    <t>alternativ: gesamt oder einzeln</t>
  </si>
  <si>
    <t>Global</t>
  </si>
  <si>
    <t>Thermal envelope global</t>
  </si>
  <si>
    <t>Gebäudehülle gesamt</t>
  </si>
  <si>
    <t>ByItem</t>
  </si>
  <si>
    <t>Specification by item</t>
  </si>
  <si>
    <t>Einzelangaben Gebäudehülle</t>
  </si>
  <si>
    <t>No information about data source</t>
  </si>
  <si>
    <t>keine Information über die Datenquelle</t>
  </si>
  <si>
    <t>Code_TypeDataSources_BuildingData</t>
  </si>
  <si>
    <t>Data source types: building and system data input</t>
  </si>
  <si>
    <t>Typen von Datenquellen: Eingabedaten für Gebäude und Anlagentechnik</t>
  </si>
  <si>
    <t>Design data + quality assurance</t>
  </si>
  <si>
    <t>Planungsdaten + Qualitätsicherung</t>
  </si>
  <si>
    <t>Design data (e.g. Energy Performance Certificate)</t>
  </si>
  <si>
    <t>Planungsdaten (z.B. Energieausweis)</t>
  </si>
  <si>
    <t>InspectionOnSite</t>
  </si>
  <si>
    <t>On-site data elevation</t>
  </si>
  <si>
    <t>Vor-Ort-Erhebung (Begehung)</t>
  </si>
  <si>
    <t>Files / information from building owner</t>
  </si>
  <si>
    <t>Akten / Angaben Gebäude-eigentümer</t>
  </si>
  <si>
    <t>No data source</t>
  </si>
  <si>
    <t>keine Datenquelle</t>
  </si>
  <si>
    <t>Code_TypeDataSources_BoundaryConditions</t>
  </si>
  <si>
    <t>Data source types: boundary conditions (utilisation, operation, climate)</t>
  </si>
  <si>
    <t>Typen von Datenquellen: Randbedingungen (Betrieb / Nutzung / Klima)</t>
  </si>
  <si>
    <t>MeasurementOnSiteQA</t>
  </si>
  <si>
    <t>On-site measurements + quality assurance (scientific monitoring)</t>
  </si>
  <si>
    <t>objektbezogene Messdaten + Qualitätssicherung (z.B. wissenschaftliches Monitoring)</t>
  </si>
  <si>
    <t>MeasurementOnSite</t>
  </si>
  <si>
    <t>On-site measurements</t>
  </si>
  <si>
    <t>objektbezogene Messdaten (z.B. Modellprojekt)</t>
  </si>
  <si>
    <t>ElevationClassification</t>
  </si>
  <si>
    <t>Elevation / classification</t>
  </si>
  <si>
    <t>Erhebung / Klassifizierung</t>
  </si>
  <si>
    <t>Code_TypeDataSources_Metering</t>
  </si>
  <si>
    <t>Data source types: metering data</t>
  </si>
  <si>
    <t>Typen von Datenquellen: Verbrauchsdaten</t>
  </si>
  <si>
    <t>MeasurementDetailed</t>
  </si>
  <si>
    <t>Detailed measurements building</t>
  </si>
  <si>
    <t>detaillierte Messdaten Gebäude</t>
  </si>
  <si>
    <t>BillingData</t>
  </si>
  <si>
    <t>Billing data</t>
  </si>
  <si>
    <t>Abrechnungsdaten</t>
  </si>
  <si>
    <t>StatementUser</t>
  </si>
  <si>
    <t>Information given by user (questionnaire)</t>
  </si>
  <si>
    <t>Angaben Nutzer (Fragebogen)</t>
  </si>
  <si>
    <t>No data source regarding metering</t>
  </si>
  <si>
    <t>keine Datenquelle zum Verbrauch</t>
  </si>
  <si>
    <t>No information about origin of data</t>
  </si>
  <si>
    <t>keine Information über die Herkunft der Angaben</t>
  </si>
  <si>
    <t>Code_TypeDataSources_MeterHeating</t>
  </si>
  <si>
    <t xml:space="preserve">Data source types: position of meter for space heating </t>
  </si>
  <si>
    <t>Typen von Datenquellen: Position des Zählers für Heizung</t>
  </si>
  <si>
    <t>MeterBuilding</t>
  </si>
  <si>
    <t>Meter for heating in the building (or delivery of fuels only for the building)</t>
  </si>
  <si>
    <t>Zähler direkt im Gebäude (oder Brennstoff-Lieferung nur für das Gebäude)</t>
  </si>
  <si>
    <t>Allocation_MeterHeatingPlant</t>
  </si>
  <si>
    <t>Meter for several buildings (e.g. in heating plant) and rough allocation to the building</t>
  </si>
  <si>
    <t>Zähler für mehrere Gebäude (z.B. in Heizzentrale) und grobe Zuordnung zum Gebäude*</t>
  </si>
  <si>
    <t>Code_Quantity_Metering</t>
  </si>
  <si>
    <t>Metered quantity</t>
  </si>
  <si>
    <t>gemessene Größe</t>
  </si>
  <si>
    <t/>
  </si>
  <si>
    <t>El</t>
  </si>
  <si>
    <t>Electricity</t>
  </si>
  <si>
    <t>Strom</t>
  </si>
  <si>
    <t>El_OP</t>
  </si>
  <si>
    <t>Electricity special tariff</t>
  </si>
  <si>
    <t>Strom-Sondertarif</t>
  </si>
  <si>
    <t>Luiquid gas</t>
  </si>
  <si>
    <t>Wood pellets</t>
  </si>
  <si>
    <t>Holzpellets</t>
  </si>
  <si>
    <t>Firewood</t>
  </si>
  <si>
    <t>Heat</t>
  </si>
  <si>
    <t>Wärmemenge</t>
  </si>
  <si>
    <t>Water_DHW</t>
  </si>
  <si>
    <t>Volume water (DHW)</t>
  </si>
  <si>
    <t>Warmwassermenge</t>
  </si>
  <si>
    <t>andere (s.u.)</t>
  </si>
  <si>
    <t>Not used</t>
  </si>
  <si>
    <t>nicht belegt</t>
  </si>
  <si>
    <t>Code_Unit_Metering</t>
  </si>
  <si>
    <t>Metering unit</t>
  </si>
  <si>
    <t>Maßeinheiten</t>
  </si>
  <si>
    <t>kWh</t>
  </si>
  <si>
    <t>MWh</t>
  </si>
  <si>
    <t>MJ</t>
  </si>
  <si>
    <t>GJ</t>
  </si>
  <si>
    <t>l</t>
  </si>
  <si>
    <t>Liter</t>
  </si>
  <si>
    <t>m³</t>
  </si>
  <si>
    <t>cubic meter or "cbm"</t>
  </si>
  <si>
    <t>Kubikmeter oder "cbm"</t>
  </si>
  <si>
    <t>kg</t>
  </si>
  <si>
    <t>t</t>
  </si>
  <si>
    <t>Tonnen</t>
  </si>
  <si>
    <t>m³(piled)</t>
  </si>
  <si>
    <t>including air between logs</t>
  </si>
  <si>
    <t>Raummeter, Ster</t>
  </si>
  <si>
    <t>Stapelvolumen in m³</t>
  </si>
  <si>
    <t>m³(heaped)</t>
  </si>
  <si>
    <t>volume of a pile in m³ (including air between chips)</t>
  </si>
  <si>
    <t>Schüttkubikmeter</t>
  </si>
  <si>
    <t>Schüttvolumen in m³</t>
  </si>
  <si>
    <t>m³(stacked)</t>
  </si>
  <si>
    <t>Festmeter</t>
  </si>
  <si>
    <t>other (see separate entry)</t>
  </si>
  <si>
    <t>andere (siehe separater Eintrag)</t>
  </si>
  <si>
    <t>Code_CalorificValue_Metering</t>
  </si>
  <si>
    <t>Entries for fuels in kWh or MWh: reference to calorific value</t>
  </si>
  <si>
    <t>Angaben für Brennstoffe in kWh oder MWh: Bezug auf Brennwert oder Heizwert</t>
  </si>
  <si>
    <t>Gross</t>
  </si>
  <si>
    <t>Gross calorific value</t>
  </si>
  <si>
    <t>oberer Heizwert</t>
  </si>
  <si>
    <t>Brennwert</t>
  </si>
  <si>
    <t>Net</t>
  </si>
  <si>
    <t>Net calorific value</t>
  </si>
  <si>
    <t>unterer Heizwert</t>
  </si>
  <si>
    <t>unknown</t>
  </si>
  <si>
    <t>Code_TypeCompareMeterCalc</t>
  </si>
  <si>
    <t>Consider metering (M1, M2 or M3) in comparison</t>
  </si>
  <si>
    <t>Berücksichtigung der Messung (M1, M2 or M3) im Vergleich</t>
  </si>
  <si>
    <t>H</t>
  </si>
  <si>
    <t>Heating</t>
  </si>
  <si>
    <t>Heizung</t>
  </si>
  <si>
    <t>H+W</t>
  </si>
  <si>
    <t>Heating + domestic hot water</t>
  </si>
  <si>
    <t>Heizung + Warmwasser</t>
  </si>
  <si>
    <t>W</t>
  </si>
  <si>
    <t>Domestic hot water</t>
  </si>
  <si>
    <t>Warmwasser</t>
  </si>
  <si>
    <t>VolW</t>
  </si>
  <si>
    <t>Volume domestic hot water</t>
  </si>
  <si>
    <t>Warmwasser-Volumen</t>
  </si>
  <si>
    <t>Other comparison</t>
  </si>
  <si>
    <t>Anderer Vergleich</t>
  </si>
  <si>
    <t>Not defined</t>
  </si>
  <si>
    <t>nicht definiert</t>
  </si>
  <si>
    <t>Code_CompareCalcMeter_Consider</t>
  </si>
  <si>
    <t>+</t>
  </si>
  <si>
    <t>Addieren</t>
  </si>
  <si>
    <t>–</t>
  </si>
  <si>
    <t>Substract</t>
  </si>
  <si>
    <t>Subtrahieren</t>
  </si>
  <si>
    <t>Do not consider</t>
  </si>
  <si>
    <t>Nicht berücksichtigen</t>
  </si>
  <si>
    <t>Code_Type_Procedure</t>
  </si>
  <si>
    <t>DIN V 4108-6 / 4701-10</t>
  </si>
  <si>
    <t>Calculation standard in Germany</t>
  </si>
  <si>
    <t>DIN V 18599</t>
  </si>
  <si>
    <t>TABULA_Standard</t>
  </si>
  <si>
    <t>Standard modus of TABULA calculation</t>
  </si>
  <si>
    <t xml:space="preserve">boundary conditions set to standard values; national standard climate; no calibration </t>
  </si>
  <si>
    <t>Standard-Modus der TABULA-Berechnung</t>
  </si>
  <si>
    <t>Randbedigungen auf Standard-Werten; nationales Standardklima; keine Kalibrierung</t>
  </si>
  <si>
    <t>TABULA_Standard_ClimReg</t>
  </si>
  <si>
    <t>Standard modus of TABULA calculation, regional climate (long term average)</t>
  </si>
  <si>
    <t xml:space="preserve">boundary conditions set to standard values; regional standard climate; no calibration </t>
  </si>
  <si>
    <t>Standard-Modus der TABULA-Berechnung; regionales Klima (langfristiger Mittelwert)</t>
  </si>
  <si>
    <t>Randbedigungen auf Standard-Werten; regionales Standardklima; keine Kalibrierung</t>
  </si>
  <si>
    <t>Code_Type_EnvelopeArea</t>
  </si>
  <si>
    <t>Type of envelope area definition</t>
  </si>
  <si>
    <t>Art der Hüllflächen-Definition</t>
  </si>
  <si>
    <t>External</t>
  </si>
  <si>
    <t>Fabric area calculation is based on external dimensions (measured between edges of external surface)</t>
  </si>
  <si>
    <t>basierend auf Außenabmessungen</t>
  </si>
  <si>
    <t>Internal</t>
  </si>
  <si>
    <t>Fabric area calculation is based on internal dimensions (measured between edges of internal surface)</t>
  </si>
  <si>
    <t>basierend auf Innenabmessungen</t>
  </si>
  <si>
    <t>Center</t>
  </si>
  <si>
    <t>Fabric area calculation is based on dimensions in the center of constructions</t>
  </si>
  <si>
    <t>basierend auf Abmessungen in der Mitte der Konstruktionen</t>
  </si>
  <si>
    <t>External_Estimate</t>
  </si>
  <si>
    <t>Estimated fabric area, based on external dimensions</t>
  </si>
  <si>
    <t>geschätzte Hüllfläche, basierend auf Außenabmessungen</t>
  </si>
  <si>
    <t>Internal_Estimate</t>
  </si>
  <si>
    <t>Estimated fabric area, based on internal dimensions</t>
  </si>
  <si>
    <t>geschätzte Hüllfläche, basierend auf Innenabmessungen</t>
  </si>
  <si>
    <t>Center_Estimate</t>
  </si>
  <si>
    <t>Estimated fabric area, based on construction centered dimensions</t>
  </si>
  <si>
    <t>geschätzte Hüllfläche, basierend auf Abmessungen in der Mitte der Konstruktionen</t>
  </si>
  <si>
    <t>Code_Sys_G</t>
  </si>
  <si>
    <t>Type of Heat generators</t>
  </si>
  <si>
    <t>Wärmeerzeuger-Typen</t>
  </si>
  <si>
    <t>boiler</t>
  </si>
  <si>
    <t>boiler (type unknown)</t>
  </si>
  <si>
    <t>Kessel</t>
  </si>
  <si>
    <t>B_NC</t>
  </si>
  <si>
    <t>boiler, non-condensing</t>
  </si>
  <si>
    <t>non-condensing boiler (further details unknown)</t>
  </si>
  <si>
    <t>Kessel ohne Kondensation (ohne weitere Angaben)</t>
  </si>
  <si>
    <t>boiler, non-condensing, constant temperature</t>
  </si>
  <si>
    <t>constant temperature non-condensing boiler</t>
  </si>
  <si>
    <t>boiler, non-condensing, low temperature</t>
  </si>
  <si>
    <t>low temperature non-condensing boiler</t>
  </si>
  <si>
    <t>boiler, condensing</t>
  </si>
  <si>
    <t>condensing boiler</t>
  </si>
  <si>
    <t>B_WP</t>
  </si>
  <si>
    <t>wood-pellets boiler</t>
  </si>
  <si>
    <t>boiler for combustion of wood pellets</t>
  </si>
  <si>
    <t>G_IWH</t>
  </si>
  <si>
    <t>gas-fired instantaneous water heater</t>
  </si>
  <si>
    <t>instantaneous water heater, fired by gas (tankless)</t>
  </si>
  <si>
    <t>Gas-Therme (Umlaufwasserheizer)</t>
  </si>
  <si>
    <t>G_IWH_NC</t>
  </si>
  <si>
    <t>gas-fired instantaneous water heater, non-condensing</t>
  </si>
  <si>
    <t>Gas-Therme (Umlaufwasserheizer), ohne Brennwertnutzung</t>
  </si>
  <si>
    <t>G_IWH_C</t>
  </si>
  <si>
    <t>gas-fired instantaneous water heater, condensing</t>
  </si>
  <si>
    <t>instantaneous water heater, fired by gas (tankless), condensing</t>
  </si>
  <si>
    <t>Gas-Brennwert-Therme</t>
  </si>
  <si>
    <t>G_SH</t>
  </si>
  <si>
    <t>gas-fired space heater</t>
  </si>
  <si>
    <t>Gasraumheizer</t>
  </si>
  <si>
    <t>G_Tank</t>
  </si>
  <si>
    <t>gas burner for directly heated DHW tank</t>
  </si>
  <si>
    <t>gas burner as a heating element of a domestic hot water tank (separately from space heating system)</t>
  </si>
  <si>
    <t>Gas-Speicherwassererwärmer</t>
  </si>
  <si>
    <t>E</t>
  </si>
  <si>
    <t>direct electric heat generator</t>
  </si>
  <si>
    <t>direct electric, not specified: any device which uses electricity for direct heat generation, e.g. electric stoves (no heat pumps which use also heat from the environment)</t>
  </si>
  <si>
    <t>direkt elektrisch (Heizstab, elektrischer Durchlauferhitzer)</t>
  </si>
  <si>
    <t>E_Immersion</t>
  </si>
  <si>
    <t>electric immersion heater</t>
  </si>
  <si>
    <t>electric heating rod or coil, immersed in a water storage</t>
  </si>
  <si>
    <t>zentraler Elektro-Speicher</t>
  </si>
  <si>
    <t>E_Storage</t>
  </si>
  <si>
    <t>electrical night storage space heater</t>
  </si>
  <si>
    <t>electrical night storage space heater (off-peak storage heating), heat emission by convection</t>
  </si>
  <si>
    <t>Elektro-Nachtspeicherheizung</t>
  </si>
  <si>
    <t>E_UnderFloor</t>
  </si>
  <si>
    <t>electrical underfloor heating</t>
  </si>
  <si>
    <t>Elektro-Fußbodenheizung</t>
  </si>
  <si>
    <t>E_SH</t>
  </si>
  <si>
    <t>electrical space heater</t>
  </si>
  <si>
    <t>electrical space heater: radiative heater or (forced) convection heater</t>
  </si>
  <si>
    <t>Elektro-Direktheizgeräte</t>
  </si>
  <si>
    <t>HP</t>
  </si>
  <si>
    <t>heat pump</t>
  </si>
  <si>
    <t xml:space="preserve">heat pump (type unknown),  remark: also reversible engines that work as a cold generator in summer are to be considered here or (if heat source is known) below </t>
  </si>
  <si>
    <t>Wärmepumpe (Bauart unbekannt oder anders als die folgenden)</t>
  </si>
  <si>
    <t>heat pump, heat source external air</t>
  </si>
  <si>
    <t xml:space="preserve">air source heat pump: heat pump, using the external air as the heat source </t>
  </si>
  <si>
    <t>Wärmepumpe, Wärmequelle Außenluft</t>
  </si>
  <si>
    <t xml:space="preserve">heat pump, heat source: cellar air </t>
  </si>
  <si>
    <t>heat pump, using cellar air as heat source</t>
  </si>
  <si>
    <t>Elektro-Wärmepumpe Kellerluft</t>
  </si>
  <si>
    <t>heat pump, heat source ground</t>
  </si>
  <si>
    <t xml:space="preserve">ground source heat pump (or geothermal heat pump): heat pump, using the ground as the heat source </t>
  </si>
  <si>
    <t>Wärmepumpe, Wärmequelle Erdreich</t>
  </si>
  <si>
    <t>heat pump, heat source exhaust air</t>
  </si>
  <si>
    <t>heat pump, using exhaust air of a ventilation system as the heat source</t>
  </si>
  <si>
    <t>Wärmepumpe, Wärmequelle Abluft</t>
  </si>
  <si>
    <t>HP_Water</t>
  </si>
  <si>
    <t>heat pump, heat source ground water</t>
  </si>
  <si>
    <t>heat pump, using ground water or a water stream as the heat source</t>
  </si>
  <si>
    <t>Wärmepumpe, Wärmequelle Grundwasser oder Fließgewässer</t>
  </si>
  <si>
    <t>HP_Other</t>
  </si>
  <si>
    <t>heat pump, other heat sources</t>
  </si>
  <si>
    <t>heat pump, using more than one or other heat sources (e.g. industrial exhaust heat, low-temperature district heat)</t>
  </si>
  <si>
    <t>Wärmepumpe, mehr als eine Wärmequelle (z.B. Industrie-Abwärme, "kalte Nahwärme")</t>
  </si>
  <si>
    <t>Vent_Rec</t>
  </si>
  <si>
    <t>ventilation system with heat recovery</t>
  </si>
  <si>
    <t>ventilation system with heat recovery, if it is considered as a heat generator</t>
  </si>
  <si>
    <t>Stove</t>
  </si>
  <si>
    <t>stove</t>
  </si>
  <si>
    <t>stove, fuel fired</t>
  </si>
  <si>
    <t>Ofen (Brennstoff-befeuert)</t>
  </si>
  <si>
    <t>Stove_L</t>
  </si>
  <si>
    <t>stove for liquid fuels</t>
  </si>
  <si>
    <t>stove for liquid fuels, especially oil stove</t>
  </si>
  <si>
    <t>Ölbefeuerter Einzelöfen mit Verdampfungsbr.</t>
  </si>
  <si>
    <t>Stove_S</t>
  </si>
  <si>
    <t>stove for solid fuels</t>
  </si>
  <si>
    <t>stove for solid fuels, especially wood and coal</t>
  </si>
  <si>
    <t>Kohle- oder Holzöfen</t>
  </si>
  <si>
    <t>OpenFire</t>
  </si>
  <si>
    <t>open fire</t>
  </si>
  <si>
    <t>open fire (fireplace, mantle)</t>
  </si>
  <si>
    <t>TS</t>
  </si>
  <si>
    <t>district heating transfer station</t>
  </si>
  <si>
    <t>heat exchanger (heat transfer station, heat substation) of a district heating system</t>
  </si>
  <si>
    <t>Übergabestation Nah- oder Fernwärme</t>
  </si>
  <si>
    <t>CHP</t>
  </si>
  <si>
    <t>combined heat and power generation</t>
  </si>
  <si>
    <t>cogeneration system: combined heat and (electric) power generation</t>
  </si>
  <si>
    <t>Kraft-Wärme-Kopplung</t>
  </si>
  <si>
    <t>Solar</t>
  </si>
  <si>
    <t>thermal solar plant</t>
  </si>
  <si>
    <t>thermische Solaranlage</t>
  </si>
  <si>
    <t>Steam</t>
  </si>
  <si>
    <t>steam generator</t>
  </si>
  <si>
    <t>steam generator (any type)</t>
  </si>
  <si>
    <t>Dampferzeuger</t>
  </si>
  <si>
    <t>other</t>
  </si>
  <si>
    <t>other generator type</t>
  </si>
  <si>
    <t>no heat generator selected</t>
  </si>
  <si>
    <t>kein Wärmeerzeuger ausgewählt</t>
  </si>
  <si>
    <t>Code_EC</t>
  </si>
  <si>
    <t>Energy carriers</t>
  </si>
  <si>
    <t>Energieträger</t>
  </si>
  <si>
    <t>fuel</t>
  </si>
  <si>
    <t>fuel, type unknown</t>
  </si>
  <si>
    <t>Fuel_Fossil</t>
  </si>
  <si>
    <t>fossil fuel</t>
  </si>
  <si>
    <t>fossil fuel, type unknown</t>
  </si>
  <si>
    <t>Erdgas E</t>
  </si>
  <si>
    <t>natural gas</t>
  </si>
  <si>
    <t>natural gas, type unknown</t>
  </si>
  <si>
    <t>Gas_E</t>
  </si>
  <si>
    <t>natural gas E</t>
  </si>
  <si>
    <t>Gas_LL</t>
  </si>
  <si>
    <t>natural gas LL</t>
  </si>
  <si>
    <t>Erdgas LL</t>
  </si>
  <si>
    <t>liquid gas</t>
  </si>
  <si>
    <t>Gas_Bio</t>
  </si>
  <si>
    <t>biogas</t>
  </si>
  <si>
    <t>gas made of biomass</t>
  </si>
  <si>
    <t>Biogas</t>
  </si>
  <si>
    <t>heating oil</t>
  </si>
  <si>
    <t>Oil_ExtraLight</t>
  </si>
  <si>
    <t>extra light heating oil</t>
  </si>
  <si>
    <t>coal</t>
  </si>
  <si>
    <t>coal, type unknown</t>
  </si>
  <si>
    <t>Coal_Hard</t>
  </si>
  <si>
    <t>hard coal</t>
  </si>
  <si>
    <t>Steinkohle</t>
  </si>
  <si>
    <t>Coal_Lignite</t>
  </si>
  <si>
    <t>lignite coal</t>
  </si>
  <si>
    <t>Braunkohle</t>
  </si>
  <si>
    <t>biomass</t>
  </si>
  <si>
    <t xml:space="preserve">biomass, type unknown </t>
  </si>
  <si>
    <t>Biomasse</t>
  </si>
  <si>
    <t>wood</t>
  </si>
  <si>
    <t>wood, type unknown</t>
  </si>
  <si>
    <t>firewood</t>
  </si>
  <si>
    <t>wood pellets</t>
  </si>
  <si>
    <t>Holz-Pellets</t>
  </si>
  <si>
    <t>wood chips</t>
  </si>
  <si>
    <t>Bio_Other</t>
  </si>
  <si>
    <t>other biomass</t>
  </si>
  <si>
    <t>biomass, if different from firewood or wood pellets</t>
  </si>
  <si>
    <t>andere Biomasse</t>
  </si>
  <si>
    <t>Bio_LiquidFuel</t>
  </si>
  <si>
    <t>liquid biofuel</t>
  </si>
  <si>
    <t>liquid fuel, made of biomass</t>
  </si>
  <si>
    <t>flüssiger Bio-Brennstoff</t>
  </si>
  <si>
    <t>flüssiger Brennstoff, hergestellt aus Biomasse</t>
  </si>
  <si>
    <t>Bio_Gas</t>
  </si>
  <si>
    <t>gas fuel, made of biomass</t>
  </si>
  <si>
    <t>gasförmiger Brennstoff, hergestellt aus Biomasse</t>
  </si>
  <si>
    <t>electricity</t>
  </si>
  <si>
    <t>off-peak electricity</t>
  </si>
  <si>
    <t>Strom-Sondertarif Nachtspeicherheizung</t>
  </si>
  <si>
    <t>El_Prod</t>
  </si>
  <si>
    <t>bonus for electricity production</t>
  </si>
  <si>
    <t>on-site electricity production</t>
  </si>
  <si>
    <t>Strom-Erzeugung auf oder am Gebäude</t>
  </si>
  <si>
    <t>El_Prod_CHP</t>
  </si>
  <si>
    <t>bonus for electricity production CHP</t>
  </si>
  <si>
    <t>on-site electricity production by combined heat-power generation</t>
  </si>
  <si>
    <t>Strom-Erzeugung BHKW</t>
  </si>
  <si>
    <t>El_PV</t>
  </si>
  <si>
    <t>PV electricity delivered to a building</t>
  </si>
  <si>
    <t>PV electricity is considered as one of the energy carriers. Values are applicable if electricity from distinct PV systems is considered to supply a part of the delivered energy needed by the building; can include energy effort for production and installation of the PV system</t>
  </si>
  <si>
    <t>El_Prod_PV</t>
  </si>
  <si>
    <t>bonus for electricity production by PV system</t>
  </si>
  <si>
    <t>on-site electricity production by photovoltaic systems</t>
  </si>
  <si>
    <t>Strom-Erzeugung PV-Anlage</t>
  </si>
  <si>
    <t>El_Prod_ExportGrid</t>
  </si>
  <si>
    <t>bonus for electricity export</t>
  </si>
  <si>
    <t>on-site electricity production, fraction exported to the grid</t>
  </si>
  <si>
    <t>El_Prod_ExportGrid_CHP</t>
  </si>
  <si>
    <t>bonus for electricity export - CHP</t>
  </si>
  <si>
    <t>on-site electricity production by combined heat-power generation, fraction exported to the grid</t>
  </si>
  <si>
    <t>El_Prod_ExportGrid_PV</t>
  </si>
  <si>
    <t>bonus for electricity export - PV system</t>
  </si>
  <si>
    <t>on-site electricity production by photovotaic systems, fraction exported to the grid</t>
  </si>
  <si>
    <t>El_Prod_Used</t>
  </si>
  <si>
    <t>bonus for directly used fraction of produced electricity</t>
  </si>
  <si>
    <t>on-site electricity production, directly used fraction</t>
  </si>
  <si>
    <t>El_Prod_Used_CHP</t>
  </si>
  <si>
    <t>bonus for directly used fraction of produced electricity - CHP</t>
  </si>
  <si>
    <t>on-site electricity production by combined heat-power generation, directly used fraction</t>
  </si>
  <si>
    <t>El_Prod_Used_PV</t>
  </si>
  <si>
    <t>bonus for directly used fraction of produced electricity - PV system</t>
  </si>
  <si>
    <t>on-site electricity production by photovotaic systems, directly used fraction</t>
  </si>
  <si>
    <t>DH</t>
  </si>
  <si>
    <t>district heating</t>
  </si>
  <si>
    <t>District heating, type unknown</t>
  </si>
  <si>
    <t>Fernwärme</t>
  </si>
  <si>
    <t>Fernwärme, Brennstoff unbekannt</t>
  </si>
  <si>
    <t>DH_NoCHP</t>
  </si>
  <si>
    <t>district heating without CHP</t>
  </si>
  <si>
    <t>District heating, energy carrier unknown, no CHP</t>
  </si>
  <si>
    <t>Fernwärme ohne KWK</t>
  </si>
  <si>
    <t>Fernwärme, Brennstoff unbekannt, ohne KWK</t>
  </si>
  <si>
    <t>DH_CHP</t>
  </si>
  <si>
    <t>district heating with CHP</t>
  </si>
  <si>
    <t>District heating, energy carrier unknown, heating plant including CHP</t>
  </si>
  <si>
    <t>Fernwärme mit KWK</t>
  </si>
  <si>
    <t>Fernwärme, Brennstoff unbekannt, mit KWK</t>
  </si>
  <si>
    <t>DH_Gas_NoCHP</t>
  </si>
  <si>
    <t>district heating gas without CHP</t>
  </si>
  <si>
    <t>District heating, energy carrier gas, no CHP</t>
  </si>
  <si>
    <t>Fernwärme, Brennstoff Gas, ohne KWK</t>
  </si>
  <si>
    <t>DH_Gas_CHP</t>
  </si>
  <si>
    <t>district heating gas with CHP</t>
  </si>
  <si>
    <t>District heating, energy carrier gas, heating plant including CHP</t>
  </si>
  <si>
    <t>Fernwärme, Brennstoff Gas, mit KWK</t>
  </si>
  <si>
    <t>DH_Oil_NoCHP</t>
  </si>
  <si>
    <t>district heating oil without CHP</t>
  </si>
  <si>
    <t>District heating, energy carrier oil, no CHP</t>
  </si>
  <si>
    <t>DH_Oil_CHP</t>
  </si>
  <si>
    <t>district heating oil with CHP</t>
  </si>
  <si>
    <t>District heating, energy carrier oil, heating plant including CHP</t>
  </si>
  <si>
    <t>DH_Coal_NoCHP</t>
  </si>
  <si>
    <t>district heating coal without CHP</t>
  </si>
  <si>
    <t>District heating, energy carrier coal, no CHP</t>
  </si>
  <si>
    <t>DH_Coal_CHP</t>
  </si>
  <si>
    <t>district heating coal with CHP</t>
  </si>
  <si>
    <t>District heating, energy carrier coal, heating plant including CHP</t>
  </si>
  <si>
    <t>DH_Bio_NoCHP</t>
  </si>
  <si>
    <t>district heating biomass without CHP</t>
  </si>
  <si>
    <t>District heating, energy carrier biomass, no CHP</t>
  </si>
  <si>
    <t>DH_Bio_CHP</t>
  </si>
  <si>
    <t>district heating biomass with CHP</t>
  </si>
  <si>
    <t>District heating, energy carrier biomass, heating plant including a CHP engine</t>
  </si>
  <si>
    <t xml:space="preserve">other </t>
  </si>
  <si>
    <t>Other energy carriers</t>
  </si>
  <si>
    <t>no energy carrier selected</t>
  </si>
  <si>
    <t>kein Energieträger gewählt</t>
  </si>
  <si>
    <t>Code_Type_ConsiderActualClimate</t>
  </si>
  <si>
    <t>Method to consider the actual climate</t>
  </si>
  <si>
    <t>Energy balance calculation</t>
  </si>
  <si>
    <t>Correction of calculation results by climate data</t>
  </si>
  <si>
    <t>Methode für die Berücksichtigung des realen Klimas</t>
  </si>
  <si>
    <t>Energiebilanzberechnung</t>
  </si>
  <si>
    <t>Korrektur der Ergebnisse durch Klimadaten</t>
  </si>
  <si>
    <t>Standard climate (national / regional)</t>
  </si>
  <si>
    <t>Standardklima (national / regional)</t>
  </si>
  <si>
    <t>LocalLTA</t>
  </si>
  <si>
    <t>Local / long-term averages</t>
  </si>
  <si>
    <t>lokal, Langzeit-Mittelwert</t>
  </si>
  <si>
    <t>LocalPeriod</t>
  </si>
  <si>
    <t>Local / actual period</t>
  </si>
  <si>
    <t>lokal, aktuelle Periode</t>
  </si>
  <si>
    <t>Standard_LocalLTA</t>
  </si>
  <si>
    <t>Standard_LocalPeriod</t>
  </si>
  <si>
    <t>LocalLTA_LocalPeriod</t>
  </si>
  <si>
    <t>Code_Type_ClimateCorrection</t>
  </si>
  <si>
    <t>Type of climate correction of calculation results</t>
  </si>
  <si>
    <t>Art der Klimabereinigung der Energiebilanz-Berechnung</t>
  </si>
  <si>
    <t>Correction_Temperature</t>
  </si>
  <si>
    <t>Consider temperature data only</t>
  </si>
  <si>
    <t>nur Berücksichtigung von Temperaturdaten</t>
  </si>
  <si>
    <t>Correction_Temperature_Solar</t>
  </si>
  <si>
    <t>Consider temperatures and solar radiation data</t>
  </si>
  <si>
    <t>Berücksichtigung von Temperatur- und Solarstrahlungsdaten</t>
  </si>
  <si>
    <t>Code_SelectionType_ClimateLib</t>
  </si>
  <si>
    <t>Selection of dataset in typology data library (standard climate)</t>
  </si>
  <si>
    <t>Auswahl des Datensatzes in der Typologie-Bibliothek</t>
  </si>
  <si>
    <t>Functional selection based on country code</t>
  </si>
  <si>
    <t>Funktionale Auswahl auf der Basis des Ländercodes</t>
  </si>
  <si>
    <t>Manual input</t>
  </si>
  <si>
    <t>Manuelle Eingabe</t>
  </si>
  <si>
    <t>Code_Climate</t>
  </si>
  <si>
    <t>Name of the climate dataset</t>
  </si>
  <si>
    <t>Name des Klimadatensatzes</t>
  </si>
  <si>
    <t>DE.N</t>
  </si>
  <si>
    <t>Standard climate Germany (Potsdam)</t>
  </si>
  <si>
    <t>Standardklima Deutschland (Potsdam)</t>
  </si>
  <si>
    <t>Code_SelectionType_ActualClimate</t>
  </si>
  <si>
    <t>Selection of dataset in local climate data base (actual climate)</t>
  </si>
  <si>
    <t>Auswahl des Datensatzes in lokaler Klimadatenbank (reales Klima)</t>
  </si>
  <si>
    <t>Functional selection based on postcode</t>
  </si>
  <si>
    <t>Funktionale Auswahl auf der Basis der Postleitzahl</t>
  </si>
  <si>
    <t>Manual_LocationID</t>
  </si>
  <si>
    <t>Manual input location ID</t>
  </si>
  <si>
    <t>Manuelle Eingabe Standort-ID</t>
  </si>
  <si>
    <t>Manual_ClimateID</t>
  </si>
  <si>
    <t>Manual input climate ID</t>
  </si>
  <si>
    <t>Manuelle Eingabe Klima-ID</t>
  </si>
  <si>
    <t>Code_ActualClimate_TypePeriodSelection</t>
  </si>
  <si>
    <t>Type of period selection for actual climate</t>
  </si>
  <si>
    <t xml:space="preserve">Art der Auswahl des Realklima-Zeitraums </t>
  </si>
  <si>
    <t>Functional selection based on metering period</t>
  </si>
  <si>
    <t>Funktionale Auswahl auf der Basis des Verbrauchszeitraums</t>
  </si>
  <si>
    <t>Manual input of the period</t>
  </si>
  <si>
    <t>Manuelle Eingabe des Zeitraums</t>
  </si>
  <si>
    <t>Code_Type_BoundaryConditions</t>
  </si>
  <si>
    <t>Type of data input boundary conditions</t>
  </si>
  <si>
    <t>Art der Dateneingabe für Randbedingungen</t>
  </si>
  <si>
    <t>Questionnaire</t>
  </si>
  <si>
    <t>Questionnaire (query variables)</t>
  </si>
  <si>
    <t>Fragebogen (Erhebungsvariablen)</t>
  </si>
  <si>
    <t>CalcInputLibrary</t>
  </si>
  <si>
    <t>Energy balance input variables, pre-defined values</t>
  </si>
  <si>
    <t>Energiebilanz-Eingangsvariablen, vordefiniert</t>
  </si>
  <si>
    <t>CalcInputIndividual</t>
  </si>
  <si>
    <t>Energy balance input variables, individual input</t>
  </si>
  <si>
    <t>Energiebilanz-Eingangsvariablen, individuelle Eingabe</t>
  </si>
  <si>
    <t>AccordingToAvailability</t>
  </si>
  <si>
    <t>Questionnaire input, if available, otherwise: energy balance input values</t>
  </si>
  <si>
    <t>Fragebogen-Eingaben, wenn vorhanden, sonst: Energiebilanz-Eingangsvariablen</t>
  </si>
  <si>
    <t>Code_Type_Input</t>
  </si>
  <si>
    <t>Selection of input data type for calculation</t>
  </si>
  <si>
    <t>Auswahl des Eingabedatentyps für die Berechnung</t>
  </si>
  <si>
    <t>Calculation based on monitoring indicators (energy profile indicators)</t>
  </si>
  <si>
    <t>funktional</t>
  </si>
  <si>
    <t>Berechnung basiert auf Monitoring-Indikatoren (Energieprofil-Indikatoren)</t>
  </si>
  <si>
    <t>Direct manual input</t>
  </si>
  <si>
    <t>manuell</t>
  </si>
  <si>
    <t>direkte manueller Eingabe</t>
  </si>
  <si>
    <t>Not available / not defined</t>
  </si>
  <si>
    <t>keine Angabe / nicht definiert</t>
  </si>
  <si>
    <t>Code_Orientation</t>
  </si>
  <si>
    <t>East</t>
  </si>
  <si>
    <t>Ost</t>
  </si>
  <si>
    <t>SouthEast</t>
  </si>
  <si>
    <t>South-East</t>
  </si>
  <si>
    <t>Süd-Ost</t>
  </si>
  <si>
    <t>South</t>
  </si>
  <si>
    <t>Süd</t>
  </si>
  <si>
    <t>SouthWest</t>
  </si>
  <si>
    <t>South-West</t>
  </si>
  <si>
    <t>Süd-West</t>
  </si>
  <si>
    <t>West</t>
  </si>
  <si>
    <t>NorthWest</t>
  </si>
  <si>
    <t>North-West</t>
  </si>
  <si>
    <t>Nord-West</t>
  </si>
  <si>
    <t>North</t>
  </si>
  <si>
    <t>Nord</t>
  </si>
  <si>
    <t>NorthEast</t>
  </si>
  <si>
    <t>North-East</t>
  </si>
  <si>
    <t>Nord-Ost</t>
  </si>
  <si>
    <t>Not existing</t>
  </si>
  <si>
    <t>nicht vorhanden</t>
  </si>
  <si>
    <t>Include internal wall insulation</t>
  </si>
  <si>
    <t>Add case "ReplaceInsulation" and "ReplaceConstruction".</t>
  </si>
  <si>
    <t>Remark_01</t>
  </si>
  <si>
    <t>Remark_02</t>
  </si>
  <si>
    <t>Remark_03</t>
  </si>
  <si>
    <t>Remark_04</t>
  </si>
  <si>
    <t>Non-wooden structure (mainly based on steel, concrete, masonry, …)</t>
  </si>
  <si>
    <t>Possible entries:
0  No
1  Yes</t>
  </si>
  <si>
    <t>Konstruktionsart ohne Holz (Stahl, Beton, Mauerwerk, …)</t>
  </si>
  <si>
    <t>festgelegte Codes:
0  nein
1  ja
(bei Misch-Konstruktionen Holz/massiv in beide Felder eine 1 eintragen)</t>
  </si>
  <si>
    <t>Input</t>
  </si>
  <si>
    <t>Boolean</t>
  </si>
  <si>
    <t>Wooden structure</t>
  </si>
  <si>
    <t>Konstruktionsart mit Holz</t>
  </si>
  <si>
    <t>Massive construction</t>
  </si>
  <si>
    <t>Wooden construction</t>
  </si>
  <si>
    <t>Construction year of the building</t>
  </si>
  <si>
    <t>in case of later extensions of the building: predominant year (according to living space share)</t>
  </si>
  <si>
    <t>Unknown: #N/A</t>
  </si>
  <si>
    <t>Baujahr des Gebäudes</t>
  </si>
  <si>
    <t>im Fall späterer Erweiterungen überwiegendes Baujahr (entsprechend Anteil an der Wohnfläche)</t>
  </si>
  <si>
    <t>unbekannt: #NV</t>
  </si>
  <si>
    <t>Additional thermal resistance due to unheated space bordering at the construction element
Standard values in m²K/W:
0       external air
0,3   unheated space
0,3   unheated cellar
0      soil</t>
  </si>
  <si>
    <t>zusätzlicher Wärmedurchlasswiderstand auf Grund von unbeheizten Bereichen, die an das Konstruktionselement grenzen
Standardwerte in m²K/W:
0       Außenluft
0,3   unbeheizte Bereiche
0,3   unbeheizter Keller
0      Erdreich</t>
  </si>
  <si>
    <t>Type_Datafield_WebTool</t>
  </si>
  <si>
    <t>Number_Validation_Max</t>
  </si>
  <si>
    <t>Number_Validation_Min</t>
  </si>
  <si>
    <t>Unit</t>
  </si>
  <si>
    <t>Index_Level_DataAkquisition</t>
  </si>
  <si>
    <t>Name_SelectionList</t>
  </si>
  <si>
    <t>n_DisplayDecimals</t>
  </si>
  <si>
    <t>Code_TypeDataSources_ThermalTransmittance_Roof</t>
  </si>
  <si>
    <t>Type of data source</t>
  </si>
  <si>
    <t>Pre-defined codes:
"DesignDataPlusQA": Design data + quality assurance
"InspectionOnSite": On-site data elevation
"RecordsStatementOwner": Files / information from building owner
"NoDataSource": No data source
"_NA_": No information about data source</t>
  </si>
  <si>
    <t>Art der Datenquelle</t>
  </si>
  <si>
    <t>Dach / ob. Geschossdecke</t>
  </si>
  <si>
    <t>festgelegte Codes:
"DesignDataPlusQA": Planungsdaten + Qualitätsicherung
"DesignData": Planungsdaten (z.B. Energieausweis)
"InspectionOnSite": Vor-Ort-Erhebung (Begehung)
"RecordsStatementOwner": Akten / Angaben Gebäude-eigentümer
"NoDataSource": keine Datenquelle
"_NA_": keine Information über die Datenquelle</t>
  </si>
  <si>
    <t>Code_TypeInput_Envelope_ThermalTransmittance</t>
  </si>
  <si>
    <t>Alternative direct input of U-values</t>
  </si>
  <si>
    <t>Pre-defined codes:
"Functional": Functional / Calculation based on monitoring indicators (energy profile indicators)
"Manual": Manual / Direct manual input
"_NA_": Not defined / Not available / not defined</t>
  </si>
  <si>
    <t>Alternative direkte Eingabe der U-Werte</t>
  </si>
  <si>
    <t>festgelegte Codes:
"Functional": funktional / Berechnung basiert auf Monitoring-Indikatoren (Energieprofil-Indikatoren)
"Manual": manuell / direkte manueller Eingabe
"_NA_": nicht definiert / keine Angabe / nicht definiert</t>
  </si>
  <si>
    <t>Installation type of thermal insulation</t>
  </si>
  <si>
    <t xml:space="preserve">Pre-defined codes:
"None": No insulation
"Original": Insulation installed during construction of building
"Refurbish": Insulation installed during refurbishment
"_NA_": not available / not applicable
</t>
  </si>
  <si>
    <t>Einbau-Art der Wärmedämmung</t>
  </si>
  <si>
    <t>festgelegte Codes:
"None" (keine): keine Dämmung
"Original" (original): Dämmung eingebaut bei Errichtung des Gebäudes
"Refurbish" (Modernisierung): Dämmung eingebaut bei Modernisierung
"_NA_" (k.A.): keine Angaben / unbekannt</t>
  </si>
  <si>
    <t>Year of refurbishment</t>
  </si>
  <si>
    <t>Jahr der Modernisierung</t>
  </si>
  <si>
    <t>Massive Konstruktion</t>
  </si>
  <si>
    <t>Holz-Konstruktion</t>
  </si>
  <si>
    <t>Effective thermal conductivity of insulation</t>
  </si>
  <si>
    <t>effektive Wärmeleitfähigkeit der Dämmung</t>
  </si>
  <si>
    <t>Code_MeasureType_Roof</t>
  </si>
  <si>
    <t>Measure type</t>
  </si>
  <si>
    <t>Pre-defined codes:
"Add": additional insulation
"Replace": existing construction replaced
"ReplaceInsulation": existing insulation replaced
"_NA_": not available / not applicable</t>
  </si>
  <si>
    <t>Typ der Maßnahme</t>
  </si>
  <si>
    <t xml:space="preserve">festgelegte Codes:
"Add": zusätzliche Dämmung
"Replace": vorhandene Konstruktion ausgetauscht
"ReplaceInsulation": vorhandene Dämmung ausgetauscht
"_NA_": keine Angaben / unbekannt
</t>
  </si>
  <si>
    <t>U-value</t>
  </si>
  <si>
    <t>U-Wert (bei unterschiedlichen Teilflächen flächengewichteter Mittelwert)</t>
  </si>
  <si>
    <t>U_Input</t>
  </si>
  <si>
    <t>Unheated space</t>
  </si>
  <si>
    <t>Unheated cellar</t>
  </si>
  <si>
    <t>Construction bordering on external air</t>
  </si>
  <si>
    <t xml:space="preserve">Construction bordering on unheated rooms (e.g. unheated attic) </t>
  </si>
  <si>
    <t>Construction bordering on unheated cellar</t>
  </si>
  <si>
    <t>Construction bordering on soil</t>
  </si>
  <si>
    <t>Envelope border</t>
  </si>
  <si>
    <t>Hüllflächengrenze</t>
  </si>
  <si>
    <t>unbeheizter Bereich</t>
  </si>
  <si>
    <t>thermische Hülle grenzt an Außenluft</t>
  </si>
  <si>
    <t>thermische Hülle grenzt an Erdreich</t>
  </si>
  <si>
    <t>thermische Hülle grenzt an unbeheizten Keller</t>
  </si>
  <si>
    <t>thermische Hülle grenzt an unbeheizten Bereich</t>
  </si>
  <si>
    <t>Top ceiling</t>
  </si>
  <si>
    <t>oberste Geschossdecke</t>
  </si>
  <si>
    <t>Wand</t>
  </si>
  <si>
    <t>Fußboden</t>
  </si>
  <si>
    <t>Type of opaque construction element</t>
  </si>
  <si>
    <t>Bauteiltyp opake Konstruktion</t>
  </si>
  <si>
    <t>Type of insulation installation</t>
  </si>
  <si>
    <t>Art des Einbaus von Wärmedämmung</t>
  </si>
  <si>
    <t>AppliedBetweenRafters</t>
  </si>
  <si>
    <t>FlatRoofMassive</t>
  </si>
  <si>
    <t>Wall_Internal</t>
  </si>
  <si>
    <t>BorderingCellar</t>
  </si>
  <si>
    <t>BorderingSoil</t>
  </si>
  <si>
    <t>Applied between rafters</t>
  </si>
  <si>
    <t>On top of ceiling</t>
  </si>
  <si>
    <t>Wall, external insulation</t>
  </si>
  <si>
    <t>Wall, internal insulation</t>
  </si>
  <si>
    <t>Roof, continuous insulation</t>
  </si>
  <si>
    <t>Element bordering at cellar</t>
  </si>
  <si>
    <t>Element bordering at soil</t>
  </si>
  <si>
    <t>Zwischensparrendämmung</t>
  </si>
  <si>
    <t>Relevant for default values of insulation thickness and thermal conductivity</t>
  </si>
  <si>
    <t>Dämmung auf Massivdach</t>
  </si>
  <si>
    <t>Dämmung auf Geschossdecke</t>
  </si>
  <si>
    <t>Wand, Außendämmung</t>
  </si>
  <si>
    <t>Wand, Innendämmung</t>
  </si>
  <si>
    <t>an Erdreich grenzendes Bauelement</t>
  </si>
  <si>
    <t>an Keller grenzendes Bauelement</t>
  </si>
  <si>
    <t>Code_BuildingType_General</t>
  </si>
  <si>
    <t>Type of Building</t>
  </si>
  <si>
    <t>Gebäudetyp</t>
  </si>
  <si>
    <t>SUH</t>
  </si>
  <si>
    <t>Single-unit housing</t>
  </si>
  <si>
    <t>1 or 2 dwellings, terraced houses included</t>
  </si>
  <si>
    <t>Einfamilienhaus</t>
  </si>
  <si>
    <t>1 oder 2 Wohneinheiten</t>
  </si>
  <si>
    <t>Multi-unit housing</t>
  </si>
  <si>
    <t>3 and more dwellings</t>
  </si>
  <si>
    <t>Mehfamilienhaus</t>
  </si>
  <si>
    <t>3 und mehr Wohneinheiten</t>
  </si>
  <si>
    <t>Building type (general)</t>
  </si>
  <si>
    <t>Gebäudetyp (allgemein)</t>
  </si>
  <si>
    <t>Relevant für Pauschalwerte der Dicke und der Wärmeleitfähigkeit von Dämmung</t>
  </si>
  <si>
    <t>Description 1</t>
  </si>
  <si>
    <t>Description 2</t>
  </si>
  <si>
    <t>Remark 1</t>
  </si>
  <si>
    <t>Remark 2</t>
  </si>
  <si>
    <t>Remark 3</t>
  </si>
  <si>
    <t>Remark 4</t>
  </si>
  <si>
    <t>Beschreibung 1</t>
  </si>
  <si>
    <t>Beschreibung 2</t>
  </si>
  <si>
    <t>Anmerkung 1</t>
  </si>
  <si>
    <t>Anmerkung 2</t>
  </si>
  <si>
    <t>Anmerkung 3</t>
  </si>
  <si>
    <t>Anmerkung 4</t>
  </si>
  <si>
    <t>Energy Profile</t>
  </si>
  <si>
    <t>Existing building</t>
  </si>
  <si>
    <t>New build</t>
  </si>
  <si>
    <t>Calculation</t>
  </si>
  <si>
    <t>Reference</t>
  </si>
  <si>
    <t>Reference_01</t>
  </si>
  <si>
    <t>Reference_02</t>
  </si>
  <si>
    <t>Constant_01</t>
  </si>
  <si>
    <t>Constant_02</t>
  </si>
  <si>
    <t>Constant_03</t>
  </si>
  <si>
    <t>Constant_04</t>
  </si>
  <si>
    <t>Transformation von Eingabedaten / Verwendung von vordefinierten Werten bei fehlender Eingabe</t>
  </si>
  <si>
    <t>Transformation of input data / use of pre-defined values when input is missing</t>
  </si>
  <si>
    <t>Index of the building age band</t>
  </si>
  <si>
    <t>Index der Baualtersklasse</t>
  </si>
  <si>
    <t>Zuordnung der Zeile in der Pauschal-U-Wert-Tabelle "Tab.U.Default"</t>
  </si>
  <si>
    <t>Assignment of row in default U-value table "Tab.U.Default"</t>
  </si>
  <si>
    <t>Tab.U.Default</t>
  </si>
  <si>
    <t>Tab.Year.Period</t>
  </si>
  <si>
    <t>Tab.Const.ConstrBorder</t>
  </si>
  <si>
    <t>Default U-value NA</t>
  </si>
  <si>
    <t>Default U-value massive</t>
  </si>
  <si>
    <t>Default U-value wooden</t>
  </si>
  <si>
    <t>Unknown construction</t>
  </si>
  <si>
    <t>Pauschaler U-Wert NA</t>
  </si>
  <si>
    <t>Pauschaler U-Wert massiv</t>
  </si>
  <si>
    <t>Pauschaler U-Wert Holz</t>
  </si>
  <si>
    <t>unbekannte Konstruktion</t>
  </si>
  <si>
    <t>massive Konstruktion</t>
  </si>
  <si>
    <t>Holzkonstruktion</t>
  </si>
  <si>
    <t>Original U-value (unrefurbished)</t>
  </si>
  <si>
    <t>Original U-value construction (unrefurbished)</t>
  </si>
  <si>
    <t>Originärer U-Wert Konstruktion (unsaniert)</t>
  </si>
  <si>
    <t>ohne Berücksichtigung von Wärmedurchlasswiderständen des Luftraums von angrenzenden unbeheizten Räumen</t>
  </si>
  <si>
    <t>Originärer U-Wert (unsaniert)</t>
  </si>
  <si>
    <t>unter Einbeziehung von Wärmedurchlasswiderständen des Luftraums von angrenzenden unbeheizten Räumen</t>
  </si>
  <si>
    <t>NA</t>
  </si>
  <si>
    <t>Massive</t>
  </si>
  <si>
    <t>Wooden</t>
  </si>
  <si>
    <t>U_Class_Roof_NA</t>
  </si>
  <si>
    <t>U_Class_UpperCeiling_NA</t>
  </si>
  <si>
    <t>U_Class_Wall_NA</t>
  </si>
  <si>
    <t>U_Class_Floor_NA</t>
  </si>
  <si>
    <t>Installation type of thermal insulation, adjusted</t>
  </si>
  <si>
    <t xml:space="preserve">Pre-defined codes:
"None": No insulation
"Original": Insulation installed during construction of building
"Refurbish": Insulation installed during refurbishment
</t>
  </si>
  <si>
    <t>festgelegte Codes:
"None" (keine): keine Dämmung
"Original" (original): Dämmung eingebaut bei Errichtung des Gebäudes
"Refurbish" (Modernisierung): Dämmung eingebaut bei Modernisierung</t>
  </si>
  <si>
    <t>Measure type, adjusted</t>
  </si>
  <si>
    <t>Einbau-Art der Wärmedämmung, bereinigt</t>
  </si>
  <si>
    <t>Typ der Maßnahme, bereinigt</t>
  </si>
  <si>
    <t>Bereinigung für den Fall unbekannter Eingabe "_NA_"</t>
  </si>
  <si>
    <t>festgelegte Codes:
"Add": zusätzliche Dämmung
"Replace": vorhandene Konstruktion ausgetauscht
"ReplaceInsulation": vorhandene Dämmung ausgetauscht</t>
  </si>
  <si>
    <t>If Information is not available ("_NA_" ) a replacement is used. The replacement takes into acoount the most common situation (in a simplified manner). The adjusted code is only used to determine calculation values and is NOT used to determine the uncertainty (for the uncertainty the unadjusted Code is used).</t>
  </si>
  <si>
    <t>Jahr der Wärmedämmung</t>
  </si>
  <si>
    <t>Year of the thermal insulation</t>
  </si>
  <si>
    <t>Abgeleitet aus den Informationen zur Wärmedämmung, zur Modernisierung und zum Gebäudebaujahr</t>
  </si>
  <si>
    <t>Derived from information about thermal insulation, refurbishment and construction year of the building</t>
  </si>
  <si>
    <t>Tab.Insulation.Default</t>
  </si>
  <si>
    <t>Pauschalwert der Dämmstärke</t>
  </si>
  <si>
    <t>Index of the insulation period</t>
  </si>
  <si>
    <t>Index des Zeitraums der Wärmedämmung</t>
  </si>
  <si>
    <t>Index_Period_Insulation</t>
  </si>
  <si>
    <t>Row index of the default value table for insulation thickness and thermal conductivity</t>
  </si>
  <si>
    <t>Zeilenindex der Pauschalwerttabelle für Dämmstärke und Wärmeleitfähigkeit</t>
  </si>
  <si>
    <t>Tabellenwerte differenziert nach dem Zeitraum der Dämmung</t>
  </si>
  <si>
    <t>Tabled values differentiated by insulation period</t>
  </si>
  <si>
    <t>Insulation thickness, used for calculation</t>
  </si>
  <si>
    <t>Dämmstärke, für die Berechnung verwendet</t>
  </si>
  <si>
    <t>Eingabe oder Pauschalwert, abhängig von den vorhandenen Eingangsdaten</t>
  </si>
  <si>
    <t>Entry or default value, depending on available input</t>
  </si>
  <si>
    <t>Default value of the nominal insulation thickness</t>
  </si>
  <si>
    <t>Effective thermal conductivity of the insulation layer, used for calculation</t>
  </si>
  <si>
    <t>Default value of the effective thermal conductivity of the insulation layer</t>
  </si>
  <si>
    <t>Pauschalwert der effektiven Wärmeleitfähigkeit der Dämmschicht</t>
  </si>
  <si>
    <t>Effektive Wärmeleitfähigkeit der Dämmschicht, für die Berechnung verwendet</t>
  </si>
  <si>
    <t>To be used when insulation measure was applied, but fraction is not known</t>
  </si>
  <si>
    <t>Code of the dataset of the default insulation fraction, case: implementation of measure is reported</t>
  </si>
  <si>
    <t>Code of the dataset of the default insulation fraction, case: implementation of measure is unknown</t>
  </si>
  <si>
    <t>Code des Datensates des Pauschalwertes für den Flächenanteil Dämmung; Fall: Dämmmaßnahme wurde umgesetzt</t>
  </si>
  <si>
    <t>Wird verwendet, wenn Dämmmaßnahme vorliegt, aber der Flächenanteil unbekannt ist</t>
  </si>
  <si>
    <t>Code des Datensates des Pauschalwertes für den Flächenanteil Dämmung; Fall: Es ist unbekannt, ob eine Dämmmaßnahme umgesetzt wurde.</t>
  </si>
  <si>
    <t>Wird verwendet, wenn unbekannt ist, ob eine Dämmmaßnahme vorliegt; in diesem Fall wird der mittlere Zustand des Bestands zugeordnet</t>
  </si>
  <si>
    <t>To be used when there is no information if an insulation measure was applied; in this case the average state of the building stock is being assigned</t>
  </si>
  <si>
    <t>Row index of the dataset of the default insulation fraction (implementation of measure is reported)</t>
  </si>
  <si>
    <t>Row index of the dataset of the default insulation fraction (implementation of measure is unknown)</t>
  </si>
  <si>
    <t>Default insulation fraction, case: implementation of measure is reported</t>
  </si>
  <si>
    <t>Default insulation fraction, case: implementation of measure is unknown</t>
  </si>
  <si>
    <t>Zeilenindex des Datensates des Pauschalwertes für den Flächenanteil Dämmung (Fall: Dämmmaßnahme wurde umgesetzt)</t>
  </si>
  <si>
    <t>Pauschalwert für den Flächenanteil Dämmung; Fall: Dämmmaßnahme wurde umgesetzt</t>
  </si>
  <si>
    <t>Zeilenindex des Datensates des Pauschalwertes für den Flächenanteil Dämmung; Fall: Es ist unbekannt, ob eine Dämmmaßnahme umgesetzt wurde.</t>
  </si>
  <si>
    <t>Pauschalwert für den Flächenanteil Dämmung; Fall: Es ist unbekannt, ob eine Dämmmaßnahme umgesetzt wurde.</t>
  </si>
  <si>
    <t>für die Berechnung verwendeter Flächenanteil (Eingabe oder Pauschalwert)</t>
  </si>
  <si>
    <t>Area fraction with insulation measure used for calculation (entry or default value)</t>
  </si>
  <si>
    <t>Area fraction of the insulation</t>
  </si>
  <si>
    <t>Flächenanteil der Dämmung</t>
  </si>
  <si>
    <t>Thermal resistance of the original state</t>
  </si>
  <si>
    <t>Considering the additional thermal resistance by adjacent unheated spaces</t>
  </si>
  <si>
    <t>Not considering the additional thermal resistance by adjacent unheated spaces</t>
  </si>
  <si>
    <t>Thermal resistance of the insulation layer</t>
  </si>
  <si>
    <t>Relevant for insulated area fraction</t>
  </si>
  <si>
    <t>U-value of original construction and insulation layer</t>
  </si>
  <si>
    <t>Effective U-value of the construction element type</t>
  </si>
  <si>
    <t>Wärmedurchgangswiderstand des Original-Bauteils</t>
  </si>
  <si>
    <t>unter Berücksichtigung des zusätzlichen Wärmedurchlasswiderstandes eines angrenzenden unbeheizten Bereichs</t>
  </si>
  <si>
    <t>Wärmedurchgangswiderstand der Dämmschicht</t>
  </si>
  <si>
    <t>Wärmedurchgangswiderstand der Original-Konstruktion mit zusätzlicher Dämmschicht</t>
  </si>
  <si>
    <t>Thermal resistance of original construction and additional insulation layer</t>
  </si>
  <si>
    <t>U-Wert der Original-Konstruktion mit zusätzlicher Dämmschicht</t>
  </si>
  <si>
    <t>effektiver U-Wert des Bauteils</t>
  </si>
  <si>
    <t>relevant für den gedämmten Flächenanteil</t>
  </si>
  <si>
    <t>Relevant for total surface area of the construction element type (not insulated + insulated areas)</t>
  </si>
  <si>
    <t>relevant für das gesamte Bauteile (ungedämmte und gedämmte Flächen)</t>
  </si>
  <si>
    <t>Original U-value</t>
  </si>
  <si>
    <t>Relevant for the pre-calculated original U-value (manual entry)</t>
  </si>
  <si>
    <t>Relevant for the default original U-value (tabled value, depending on construction year class)</t>
  </si>
  <si>
    <t>Relative uncertainty assigned to the uncertainty level</t>
  </si>
  <si>
    <t>Pre-calculated original U-value (manual entry)</t>
  </si>
  <si>
    <t>Unsicherheitsklasse</t>
  </si>
  <si>
    <t>Beschreibung</t>
  </si>
  <si>
    <t>Relative Unsicherheit, zugeordnet zur Unsicherheitsklasse</t>
  </si>
  <si>
    <t>Original-U-Wert</t>
  </si>
  <si>
    <t>Resultierende relative Unsicherheit</t>
  </si>
  <si>
    <t>Absolute uncertainty assigned to the uncertainty level</t>
  </si>
  <si>
    <t>absolute Unsicherheit, zugeordnet zur Unsicherheitsklasse</t>
  </si>
  <si>
    <t>Absolute Unsicherheit, zugeordnet zur Unsicherheitsklasse</t>
  </si>
  <si>
    <t>relevant für den pauschalen Original-U-Wert (Tabellenwert, abhängig von Baualtersklasse)</t>
  </si>
  <si>
    <t>relevant für einen separat berechneten, manuell eingegebenen Original-U-Wert</t>
  </si>
  <si>
    <t>Thermal conductivity of insulation layer</t>
  </si>
  <si>
    <t>Wärmeleitfähigkeit der Dämmschicht</t>
  </si>
  <si>
    <t>Relative Unsicherheit der Wärmeleitfähigkeit</t>
  </si>
  <si>
    <t>Relative Unsicherheit der Dämmstärke</t>
  </si>
  <si>
    <t>Relative Unsicherheit des Original-U-Wertes</t>
  </si>
  <si>
    <t>Effektiver U-Wert</t>
  </si>
  <si>
    <t>Insulated area fraction</t>
  </si>
  <si>
    <t>gedämmter Flächenanteil</t>
  </si>
  <si>
    <t>Relative Unsicherheit des gedämmten Flächenanteils</t>
  </si>
  <si>
    <t>Absolute uncertainty of the effective U-Value</t>
  </si>
  <si>
    <t>Relative Unsicherheit des effektiven U-Werts</t>
  </si>
  <si>
    <t>Absolute Unsicherheit des effektiven U-Werts</t>
  </si>
  <si>
    <t>absolute Unsicherheit des effektiven U-Wertes, verursacht durch die Unsicherheit der betreffenden Modelleingangsgröße</t>
  </si>
  <si>
    <t>Absolute uncertainty of the effective U-value caused by the uncertainty of the respective model input quantity</t>
  </si>
  <si>
    <t>Relative uncertainty of the effective U-value caused by the uncertainty of the respective model input quantity</t>
  </si>
  <si>
    <t>absolute Unsicherheit des effektiven U-Wertes, verursacht durch die Unsicherheit aller Modelleingangsgrößen</t>
  </si>
  <si>
    <t>Absolute uncertainty of the effective U-value caused by the uncertainty of all model input quantities</t>
  </si>
  <si>
    <t>Relative uncertainty of the effective U-value caused by the uncertainty of all model input quantities</t>
  </si>
  <si>
    <t>relative Unsicherheit des effektiven U-Wertes, verursacht durch die Unsicherheit der betreffenden Modelleingangsgröße</t>
  </si>
  <si>
    <t>relative Unsicherheit des effektiven U-Wertes, verursacht durch die Unsicherheit aller Modelleingangsgrößen</t>
  </si>
  <si>
    <t>Thermal conductivity</t>
  </si>
  <si>
    <t>Wärmeleitfähigkeit</t>
  </si>
  <si>
    <t>Input of the calculation model</t>
  </si>
  <si>
    <t>Output of the calculation model</t>
  </si>
  <si>
    <t>effektiver U-Wert</t>
  </si>
  <si>
    <t>Relevanz</t>
  </si>
  <si>
    <t>Zusammenfassung Eingangs- und Ausgangswerte des Berechnungsmodells</t>
  </si>
  <si>
    <t>Summary input and output values of the calculation model</t>
  </si>
  <si>
    <t>Input value of the calculation model</t>
  </si>
  <si>
    <t>Modell-Eingangswert</t>
  </si>
  <si>
    <t>Modell-Ergebniswert</t>
  </si>
  <si>
    <t>Relative input uncertainty</t>
  </si>
  <si>
    <t>Relative output uncertainty</t>
  </si>
  <si>
    <t>relative Unsicherheit Eingangswert</t>
  </si>
  <si>
    <t>relative Unsicherheit Ergebniswert</t>
  </si>
  <si>
    <t>absolute Unsicherheit Eingangswert</t>
  </si>
  <si>
    <t>absolute Unsicherheit Ergebniswert</t>
  </si>
  <si>
    <t>Absolute output uncertainty</t>
  </si>
  <si>
    <t>Absolute input uncertainty</t>
  </si>
  <si>
    <t>Relevanz der Eingangsunsicherheit für die Ergebnisunsicherheit (relativer Anteil an der Gesamtunsicherheit des effektiven U-Wertes)</t>
  </si>
  <si>
    <t>Relevance of the input uncertainty for the result uncertainty (relative effect on the total uncertainty of the effective U-value)</t>
  </si>
  <si>
    <t>Chart 01</t>
  </si>
  <si>
    <t>Diagramm 01</t>
  </si>
  <si>
    <t>Code_Analysis</t>
  </si>
  <si>
    <t>W.A</t>
  </si>
  <si>
    <t>W.B</t>
  </si>
  <si>
    <t>W.C</t>
  </si>
  <si>
    <t>W.D</t>
  </si>
  <si>
    <t>W.E</t>
  </si>
  <si>
    <t>W.F</t>
  </si>
  <si>
    <t>W.G</t>
  </si>
  <si>
    <t>W.H</t>
  </si>
  <si>
    <t>W.I</t>
  </si>
  <si>
    <t>W.J</t>
  </si>
  <si>
    <t>C.A</t>
  </si>
  <si>
    <t>Index_Chart</t>
  </si>
  <si>
    <t>"UValEst-CalcPad" version:</t>
  </si>
  <si>
    <t>Done</t>
  </si>
  <si>
    <t>Simplified U-value estimation and uncertainty assessment 
for opaque constructions by use of survey data</t>
  </si>
  <si>
    <t>Background</t>
  </si>
  <si>
    <t>[1]</t>
  </si>
  <si>
    <t>https://www.iwu.de/fileadmin/publikationen/energie/mobasy/2021_IWU_LogaEtAl_MOBASY-Realbilanzierung-Verbrauch-Bedarf-Vergleich.pdf</t>
  </si>
  <si>
    <t>[2]</t>
  </si>
  <si>
    <t>Loga, Tobias; Behem, Guillaume: Target/actual comparison and benchmarking used to safeguard low energy consumption in refurbished housing stocks; Proceedings of the eceee Summer Study Conference; Digital event 7–11 June 2021; to be published</t>
  </si>
  <si>
    <t>https://www.eceee.org/summerstudy/</t>
  </si>
  <si>
    <t>Institute for Housing and Environment</t>
  </si>
  <si>
    <t>Darmstadt - Germany</t>
  </si>
  <si>
    <t>Tobias Loga</t>
  </si>
  <si>
    <t>References</t>
  </si>
  <si>
    <t>[3]</t>
  </si>
  <si>
    <t>https://datenbasis.iwu.de/</t>
  </si>
  <si>
    <t>Diefenbach, Nikolaus (IWU); Cischinsky, Holger (IWU); Rodenfels, Markus (IWU); Clausnitzer, Klaus-Dieter (Bremer Energie Institut): Datenbasis Gebäudebestand. Datenerhebung zur energetischen Qualität und zu den Modernisierungstrends im deutschen Wohngebäudebestand; IWU – Institut Wohnen und Umwelt, Darmstadt 2010</t>
  </si>
  <si>
    <t>[4]</t>
  </si>
  <si>
    <t>Cischinsky, Holger; Diefenbach, Nikolaus: Datenerhebung Wohngebäudebestand 2016; IWU – Institut Wohnen und Umwelt, Darmstadt 2018</t>
  </si>
  <si>
    <t>https://www.iwu.de/fileadmin/user_upload/dateien/energie/Endbericht_Datenerhebung_Wohngeb%C3%A4udebestand_2016.pdf</t>
  </si>
  <si>
    <t>Core challenge: insulation state of building stocks</t>
  </si>
  <si>
    <t>Registration number: 03SBE0004A</t>
  </si>
  <si>
    <t xml:space="preserve">Joint research project within the “Solar Building” funding initiative </t>
  </si>
  <si>
    <t>Project duration: 11/2017 … 10/2022</t>
  </si>
  <si>
    <t xml:space="preserve">Modellierung der Bandbreiten und systematischen Abhängigkeiten 
des Energieverbrauchs zur Anwendung im Verbrauchscontrolling  
von Wohngebäudebeständen </t>
  </si>
  <si>
    <t>Content of this workbook</t>
  </si>
  <si>
    <t>Purpose</t>
  </si>
  <si>
    <t>Tab.Uncertainty.Levels</t>
  </si>
  <si>
    <t>Calc.Charts</t>
  </si>
  <si>
    <t>Tab.Measure.f.Default</t>
  </si>
  <si>
    <t xml:space="preserve">National default U-values differentiated by construction year class and construction type; TABULA values, extracted from the workbook "tabula.values.xlsx" at https://episcope.eu/communication/download/ </t>
  </si>
  <si>
    <t>National default values of insulation thickness and thermal conductivity of insulation measures, differentiated by implementation period and construction type; to be used if the actual values are not known for a given construction (usage of these default values increases the uncertainty); can be supplemented by data from the relevant country</t>
  </si>
  <si>
    <t>Time bands / construction year classes; can be supplemented by data from the relevant country</t>
  </si>
  <si>
    <t xml:space="preserve">Type of construction border situation / location of construction element; TABULA values, extracted from the workbook "tabula.values.xlsx" at https://episcope.eu/communication/download/; see method description: https://episcope.eu/fileadmin/tabula/public/docs/report/TABULA_CommonCalculationMethod.pdf  </t>
  </si>
  <si>
    <t>Uncertainty levels: 5 categories of input data uncertainty; one row for each relevant input variable; for each relevant input variable: explanation of each category; quantification of absolute and/or relative uncertainty;more information in [1]</t>
  </si>
  <si>
    <t>www.episcope.eu/building-typology/tabula-structure/calculation/</t>
  </si>
  <si>
    <t>iwu.xl.tool - calculation pad</t>
  </si>
  <si>
    <t>Row-by-row calculation of U-values and assigned uncertainties. The rows can be copied to execute individual building (stock) assessments and parameter studies.</t>
  </si>
  <si>
    <t>Display of examples showcasing the effect of the refurbishment state and the extent of available information. The chart is connected to the calculation sheet "Calc.U.Uncertainty" and can easily be duplicated to display other calculation rows.</t>
  </si>
  <si>
    <t>Codes to be used in incell dropdown lists; code table pasted from the MOBASY monitoring table (description in [1])</t>
  </si>
  <si>
    <t>National default values of insulation fraction, differentiated by construction type, implementation period; two cases: (a) typical insulation fraction of refurbished construtions (indicator "Refurbished", used if actual insulation fraction is not known for a refurbished construction); (b) ratio of insulated to total construction area for the building stock of the specific construction period (indicator "NA", values used to model an average state for constructions of unknown state) - usage of these default values increases the uncertainty; can be supplemented by data from the relevant country</t>
  </si>
  <si>
    <t>A concept for simplified U-value estimation and uncertainty assessment</t>
  </si>
  <si>
    <t>Renhof, Moritz: Ermittlung von realistischen U-Werten und Wärmebrückenzuschlägen für Wohngebäude im Bestand; Masterarbeit an der Bauhaus-Universität Weimar / Fakultät Bauingenieurwesen / Studiengang Bauphysik und energetische Gebäudeoptimierung / Prof. Dr.-Ing. Conrad Völker; Weimar 2018</t>
  </si>
  <si>
    <t>[5]</t>
  </si>
  <si>
    <t>Loga, Tobias; Großklos, Marc; Müller, André; Swiderek, Stefan; Behem, Guillaume: Realbilanzierung für den Verbrauch-Bedarf-Vergleich (MOBASY Teilbericht). Realistische Bilanzierung und Quantifizierung von Unsicherheiten als Grundlage für den Soll-Ist-Vergleich beim Energieverbrauchscontrolling; IWU - Institut Wohnen und Umwelt, Darmstadt 2021; ISBN 978-3-941140-67-7</t>
  </si>
  <si>
    <t>www.iwu.de</t>
  </si>
  <si>
    <t>www.iwu.de/forschung/energie/2017/mobasy/</t>
  </si>
  <si>
    <t>Identification and general information</t>
  </si>
  <si>
    <t>Datensatz-Identifikation und allgemeine Informationen</t>
  </si>
  <si>
    <t>Data input</t>
  </si>
  <si>
    <t>Eingabedaten</t>
  </si>
  <si>
    <t>Transformation / default values</t>
  </si>
  <si>
    <t>Transformation / Pauschalwerte</t>
  </si>
  <si>
    <t>Expand header to 100 rows to enable entry of captions in other languages.</t>
  </si>
  <si>
    <t>Institut Wohnen und Umwelt</t>
  </si>
  <si>
    <t>U-values of Building Constructions – Estimates and Bandwidths</t>
  </si>
  <si>
    <t>[UValEst-CalcPad.xlsx]</t>
  </si>
  <si>
    <t>Add "Calc.Demo" sheet for showcasing calculation</t>
  </si>
  <si>
    <t>Input Data</t>
  </si>
  <si>
    <t>Sheet</t>
  </si>
  <si>
    <t>Uncertainty</t>
  </si>
  <si>
    <t>Uncertainty of U-values</t>
  </si>
  <si>
    <t>(opaque constructions)</t>
  </si>
  <si>
    <t>U-value original construction</t>
  </si>
  <si>
    <t>Area fraction with insulation</t>
  </si>
  <si>
    <t>m</t>
  </si>
  <si>
    <t>Themal conductivity of insulation</t>
  </si>
  <si>
    <t>Code_Level_Uncertainty_U_Original_Calc</t>
  </si>
  <si>
    <t>Check</t>
  </si>
  <si>
    <r>
      <t>U</t>
    </r>
    <r>
      <rPr>
        <vertAlign val="subscript"/>
        <sz val="6.4"/>
        <rFont val="Tahoma"/>
        <family val="2"/>
      </rPr>
      <t>Or</t>
    </r>
  </si>
  <si>
    <r>
      <t>f</t>
    </r>
    <r>
      <rPr>
        <vertAlign val="subscript"/>
        <sz val="6.4"/>
        <rFont val="Tahoma"/>
        <family val="2"/>
      </rPr>
      <t>Ins</t>
    </r>
  </si>
  <si>
    <r>
      <t>d</t>
    </r>
    <r>
      <rPr>
        <vertAlign val="subscript"/>
        <sz val="6.4"/>
        <rFont val="Tahoma"/>
        <family val="2"/>
      </rPr>
      <t>Ins</t>
    </r>
  </si>
  <si>
    <r>
      <t>λ</t>
    </r>
    <r>
      <rPr>
        <vertAlign val="subscript"/>
        <sz val="6.4"/>
        <rFont val="Tahoma"/>
        <family val="2"/>
      </rPr>
      <t>Ins</t>
    </r>
  </si>
  <si>
    <t>U-value Insulated part</t>
  </si>
  <si>
    <t>Resulting effective U-Value</t>
  </si>
  <si>
    <t>Estimation and Uncertainty Assessment</t>
  </si>
  <si>
    <t>U-value estimation on the basis of survey data (TABULA method) + uncertainty assessment (MOBASY method)</t>
  </si>
  <si>
    <t>U-values of Existing Constructions</t>
  </si>
  <si>
    <t>Calc.Demo.U.Uncertainty</t>
  </si>
  <si>
    <t>Sheet designed for tracking the U-value estimation and uncertainty assessment. The selection of examples is connected to the sheet "Calc.Charts".</t>
  </si>
  <si>
    <t>Sheet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</si>
</sst>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 0.00\ \}"/>
    <numFmt numFmtId="166" formatCode="0.000"/>
    <numFmt numFmtId="167" formatCode="&quot;+/-&quot;0%"/>
    <numFmt numFmtId="168" formatCode="&quot;+/-&quot;0.00"/>
    <numFmt numFmtId="169" formatCode="&quot;+/-&quot;\ 0%"/>
    <numFmt numFmtId="170" formatCode="&quot;+/-&quot;0"/>
    <numFmt numFmtId="171" formatCode="&quot;+/-&quot;0.000"/>
    <numFmt numFmtId="172" formatCode="yyyy\-mm\-dd"/>
    <numFmt numFmtId="173" formatCode="00"/>
    <numFmt numFmtId="174" formatCode="0.0"/>
    <numFmt numFmtId="175" formatCode="#\ ##0"/>
    <numFmt numFmtId="176" formatCode="&quot;+/- &quot;0.0"/>
    <numFmt numFmtId="177" formatCode="0;\-0;"/>
    <numFmt numFmtId="178" formatCode="0.00;\-0.00;"/>
    <numFmt numFmtId="179" formatCode="&quot;+/- &quot;0.00"/>
    <numFmt numFmtId="180" formatCode="&quot;+/- &quot;0.00;&quot;+/- &quot;0.00;"/>
    <numFmt numFmtId="181" formatCode="&quot;+/- &quot;0%;&quot;+/- &quot;0%;"/>
    <numFmt numFmtId="182" formatCode="&quot;+/- &quot;0.000"/>
    <numFmt numFmtId="183" formatCode="&quot;+/- &quot;0%"/>
    <numFmt numFmtId="184" formatCode="0.000;\-0.000;"/>
    <numFmt numFmtId="185" formatCode="&quot;+/- &quot;0.000;&quot;+/- &quot;0.000;"/>
    <numFmt numFmtId="186" formatCode="\(0%\)"/>
    <numFmt numFmtId="189" formatCode="yyyy\-mm\-dd\ \ h:mm;@"/>
  </numFmts>
  <fonts count="90">
    <font>
      <sz val="8"/>
      <name val="Tahoma"/>
      <family val="2"/>
    </font>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indexed="8"/>
      <name val="Calibri"/>
      <family val="2"/>
    </font>
    <font>
      <sz val="11"/>
      <color indexed="9"/>
      <name val="Calibri"/>
      <family val="2"/>
    </font>
    <font>
      <sz val="10"/>
      <name val="Arial"/>
      <family val="2"/>
    </font>
    <font>
      <sz val="8"/>
      <name val="Tahoma"/>
      <family val="2"/>
    </font>
    <font>
      <b/>
      <sz val="8"/>
      <name val="Tahoma"/>
      <family val="2"/>
    </font>
    <font>
      <sz val="8"/>
      <color indexed="12"/>
      <name val="Tahoma"/>
      <family val="2"/>
    </font>
    <font>
      <sz val="11"/>
      <color indexed="17"/>
      <name val="Calibri"/>
      <family val="2"/>
    </font>
    <font>
      <b/>
      <sz val="10"/>
      <color indexed="9"/>
      <name val="Tahoma"/>
      <family val="2"/>
    </font>
    <font>
      <u/>
      <sz val="9"/>
      <color theme="10"/>
      <name val="Tahoma"/>
      <family val="2"/>
    </font>
    <font>
      <sz val="11"/>
      <color indexed="20"/>
      <name val="Calibri"/>
      <family val="2"/>
    </font>
    <font>
      <sz val="11"/>
      <name val="MetaNormalLF-Roman"/>
    </font>
    <font>
      <b/>
      <sz val="15"/>
      <color indexed="62"/>
      <name val="Calibri"/>
      <family val="2"/>
    </font>
    <font>
      <b/>
      <sz val="13"/>
      <color indexed="62"/>
      <name val="Calibri"/>
      <family val="2"/>
    </font>
    <font>
      <b/>
      <sz val="11"/>
      <color indexed="62"/>
      <name val="Calibri"/>
      <family val="2"/>
    </font>
    <font>
      <b/>
      <sz val="18"/>
      <color indexed="62"/>
      <name val="Cambria"/>
      <family val="2"/>
    </font>
    <font>
      <b/>
      <sz val="8"/>
      <color indexed="9"/>
      <name val="Tahoma"/>
      <family val="2"/>
    </font>
    <font>
      <sz val="11"/>
      <color indexed="52"/>
      <name val="Calibri"/>
      <family val="2"/>
    </font>
    <font>
      <b/>
      <sz val="11"/>
      <color indexed="9"/>
      <name val="Calibri"/>
      <family val="2"/>
    </font>
    <font>
      <sz val="8"/>
      <color rgb="FFFF00FF"/>
      <name val="Tahoma"/>
      <family val="2"/>
    </font>
    <font>
      <b/>
      <sz val="8"/>
      <color rgb="FFFF0000"/>
      <name val="Tahoma"/>
      <family val="2"/>
    </font>
    <font>
      <sz val="8"/>
      <color theme="0" tint="-0.34998626667073579"/>
      <name val="Tahoma"/>
      <family val="2"/>
    </font>
    <font>
      <sz val="8"/>
      <color theme="0" tint="-0.499984740745262"/>
      <name val="Tahoma"/>
      <family val="2"/>
    </font>
    <font>
      <sz val="6"/>
      <color rgb="FF969696"/>
      <name val="Tahoma"/>
      <family val="2"/>
    </font>
    <font>
      <sz val="7"/>
      <color theme="0" tint="-0.34998626667073579"/>
      <name val="Tahoma"/>
      <family val="2"/>
    </font>
    <font>
      <b/>
      <sz val="8"/>
      <color theme="0" tint="-0.34998626667073579"/>
      <name val="Tahoma"/>
      <family val="2"/>
    </font>
    <font>
      <sz val="8"/>
      <name val="Arial"/>
      <family val="2"/>
    </font>
    <font>
      <sz val="8"/>
      <color indexed="23"/>
      <name val="Tahoma"/>
      <family val="2"/>
    </font>
    <font>
      <sz val="8"/>
      <color indexed="55"/>
      <name val="Tahoma"/>
      <family val="2"/>
    </font>
    <font>
      <b/>
      <sz val="11"/>
      <color indexed="63"/>
      <name val="Calibri"/>
      <family val="2"/>
    </font>
    <font>
      <b/>
      <sz val="11"/>
      <color indexed="52"/>
      <name val="Calibri"/>
      <family val="2"/>
    </font>
    <font>
      <b/>
      <sz val="11"/>
      <color indexed="8"/>
      <name val="Calibri"/>
      <family val="2"/>
    </font>
    <font>
      <i/>
      <sz val="11"/>
      <color indexed="23"/>
      <name val="Calibri"/>
      <family val="2"/>
    </font>
    <font>
      <sz val="11"/>
      <color indexed="10"/>
      <name val="Calibri"/>
      <family val="2"/>
    </font>
    <font>
      <sz val="8"/>
      <color indexed="45"/>
      <name val="Tahoma"/>
      <family val="2"/>
    </font>
    <font>
      <sz val="8"/>
      <color indexed="10"/>
      <name val="Tahoma"/>
      <family val="2"/>
    </font>
    <font>
      <b/>
      <sz val="8"/>
      <color indexed="81"/>
      <name val="Tahoma"/>
      <family val="2"/>
    </font>
    <font>
      <sz val="8"/>
      <color indexed="81"/>
      <name val="Tahoma"/>
      <family val="2"/>
    </font>
    <font>
      <b/>
      <sz val="9"/>
      <color theme="0"/>
      <name val="Tahoma"/>
      <family val="2"/>
    </font>
    <font>
      <b/>
      <sz val="9"/>
      <name val="Tahoma"/>
      <family val="2"/>
    </font>
    <font>
      <sz val="8"/>
      <color rgb="FF777777"/>
      <name val="Tahoma"/>
      <family val="2"/>
    </font>
    <font>
      <sz val="6"/>
      <name val="Arial"/>
      <family val="2"/>
    </font>
    <font>
      <sz val="8"/>
      <color rgb="FF969696"/>
      <name val="Tahoma"/>
      <family val="2"/>
    </font>
    <font>
      <sz val="7"/>
      <color rgb="FF3333CC"/>
      <name val="Arial"/>
      <family val="2"/>
    </font>
    <font>
      <sz val="6"/>
      <color rgb="FF969696"/>
      <name val="Arial"/>
      <family val="2"/>
    </font>
    <font>
      <b/>
      <sz val="8"/>
      <color theme="0"/>
      <name val="Tahoma"/>
      <family val="2"/>
    </font>
    <font>
      <sz val="8"/>
      <color theme="0"/>
      <name val="Tahoma"/>
      <family val="2"/>
    </font>
    <font>
      <sz val="9"/>
      <color indexed="81"/>
      <name val="Tahoma"/>
      <family val="2"/>
    </font>
    <font>
      <b/>
      <sz val="10"/>
      <color theme="0"/>
      <name val="Tahoma"/>
      <family val="2"/>
    </font>
    <font>
      <b/>
      <sz val="12"/>
      <color theme="0"/>
      <name val="Tahoma"/>
      <family val="2"/>
    </font>
    <font>
      <sz val="8"/>
      <color theme="1"/>
      <name val="Tahoma"/>
      <family val="2"/>
    </font>
    <font>
      <sz val="8"/>
      <color rgb="FFFF0000"/>
      <name val="Tahoma"/>
      <family val="2"/>
    </font>
    <font>
      <sz val="6"/>
      <name val="Tahoma"/>
      <family val="2"/>
    </font>
    <font>
      <b/>
      <sz val="8"/>
      <color rgb="FF008000"/>
      <name val="Arial"/>
      <family val="2"/>
    </font>
    <font>
      <sz val="8"/>
      <color rgb="FF008000"/>
      <name val="Arial"/>
      <family val="2"/>
    </font>
    <font>
      <u/>
      <sz val="8"/>
      <color theme="10"/>
      <name val="Tahoma"/>
      <family val="2"/>
    </font>
    <font>
      <sz val="10"/>
      <name val="Tahoma"/>
      <family val="2"/>
    </font>
    <font>
      <sz val="10"/>
      <color rgb="FFFF00FF"/>
      <name val="Tahoma"/>
      <family val="2"/>
    </font>
    <font>
      <b/>
      <sz val="10"/>
      <color rgb="FFFF00FF"/>
      <name val="Tahoma"/>
      <family val="2"/>
    </font>
    <font>
      <b/>
      <sz val="10"/>
      <name val="Tahoma"/>
      <family val="2"/>
    </font>
    <font>
      <u/>
      <sz val="6"/>
      <color theme="10"/>
      <name val="Tahoma"/>
      <family val="2"/>
    </font>
    <font>
      <b/>
      <sz val="10"/>
      <color rgb="FF008080"/>
      <name val="Arial"/>
      <family val="2"/>
    </font>
    <font>
      <u/>
      <sz val="10"/>
      <color theme="10"/>
      <name val="Tahoma"/>
      <family val="2"/>
    </font>
    <font>
      <sz val="12"/>
      <name val="Tahoma"/>
      <family val="2"/>
    </font>
    <font>
      <sz val="8"/>
      <color indexed="9"/>
      <name val="Tahoma"/>
      <family val="2"/>
    </font>
    <font>
      <b/>
      <sz val="14"/>
      <color indexed="9"/>
      <name val="Tahoma"/>
      <family val="2"/>
    </font>
    <font>
      <sz val="12"/>
      <color indexed="9"/>
      <name val="Tahoma"/>
      <family val="2"/>
    </font>
    <font>
      <b/>
      <sz val="10"/>
      <color indexed="10"/>
      <name val="Tahoma"/>
      <family val="2"/>
    </font>
    <font>
      <sz val="7"/>
      <name val="Tahoma"/>
      <family val="2"/>
    </font>
    <font>
      <b/>
      <sz val="8"/>
      <color theme="0" tint="-0.499984740745262"/>
      <name val="Tahoma"/>
      <family val="2"/>
    </font>
    <font>
      <vertAlign val="subscript"/>
      <sz val="6.4"/>
      <name val="Tahoma"/>
      <family val="2"/>
    </font>
    <font>
      <sz val="5"/>
      <name val="Tahoma"/>
      <family val="2"/>
    </font>
    <font>
      <sz val="6"/>
      <color rgb="FFC00000"/>
      <name val="Tahoma"/>
      <family val="2"/>
    </font>
    <font>
      <b/>
      <sz val="9"/>
      <color rgb="FFC00000"/>
      <name val="Tahoma"/>
      <family val="2"/>
    </font>
    <font>
      <sz val="8"/>
      <color rgb="FFC00000"/>
      <name val="Tahoma"/>
      <family val="2"/>
    </font>
    <font>
      <b/>
      <sz val="8"/>
      <color rgb="FFC00000"/>
      <name val="Tahoma"/>
      <family val="2"/>
    </font>
    <font>
      <sz val="9"/>
      <color rgb="FFC00000"/>
      <name val="Tahoma"/>
      <family val="2"/>
    </font>
    <font>
      <sz val="6"/>
      <color theme="0" tint="-0.34998626667073579"/>
      <name val="Tahoma"/>
      <family val="2"/>
    </font>
    <font>
      <sz val="8"/>
      <color theme="2" tint="-0.499984740745262"/>
      <name val="Tahoma"/>
      <family val="2"/>
    </font>
    <font>
      <b/>
      <sz val="8"/>
      <color theme="2" tint="-0.499984740745262"/>
      <name val="Tahoma"/>
      <family val="2"/>
    </font>
    <font>
      <sz val="6"/>
      <color theme="2" tint="-0.499984740745262"/>
      <name val="Tahoma"/>
      <family val="2"/>
    </font>
    <font>
      <sz val="10"/>
      <color indexed="9"/>
      <name val="Tahoma"/>
      <family val="2"/>
    </font>
    <font>
      <sz val="5"/>
      <color rgb="FF969696"/>
      <name val="Tahoma"/>
      <family val="2"/>
    </font>
  </fonts>
  <fills count="54">
    <fill>
      <patternFill patternType="none"/>
    </fill>
    <fill>
      <patternFill patternType="gray125"/>
    </fill>
    <fill>
      <patternFill patternType="solid">
        <fgColor rgb="FFF2F2F2"/>
      </patternFill>
    </fill>
    <fill>
      <patternFill patternType="solid">
        <fgColor indexed="44"/>
      </patternFill>
    </fill>
    <fill>
      <patternFill patternType="solid">
        <fgColor indexed="46"/>
      </patternFill>
    </fill>
    <fill>
      <patternFill patternType="solid">
        <fgColor indexed="26"/>
      </patternFill>
    </fill>
    <fill>
      <patternFill patternType="solid">
        <fgColor indexed="47"/>
      </patternFill>
    </fill>
    <fill>
      <patternFill patternType="solid">
        <fgColor indexed="27"/>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6"/>
      </patternFill>
    </fill>
    <fill>
      <patternFill patternType="solid">
        <fgColor indexed="50"/>
      </patternFill>
    </fill>
    <fill>
      <patternFill patternType="solid">
        <fgColor indexed="54"/>
      </patternFill>
    </fill>
    <fill>
      <patternFill patternType="solid">
        <fgColor indexed="49"/>
      </patternFill>
    </fill>
    <fill>
      <patternFill patternType="solid">
        <fgColor indexed="52"/>
      </patternFill>
    </fill>
    <fill>
      <patternFill patternType="solid">
        <fgColor rgb="FFFF99FF"/>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54"/>
        <bgColor indexed="64"/>
      </patternFill>
    </fill>
    <fill>
      <patternFill patternType="solid">
        <fgColor indexed="14"/>
      </patternFill>
    </fill>
    <fill>
      <patternFill patternType="solid">
        <fgColor indexed="21"/>
        <bgColor indexed="64"/>
      </patternFill>
    </fill>
    <fill>
      <patternFill patternType="solid">
        <fgColor indexed="55"/>
      </patternFill>
    </fill>
    <fill>
      <patternFill patternType="solid">
        <fgColor rgb="FFDDDDDD"/>
        <bgColor indexed="64"/>
      </patternFill>
    </fill>
    <fill>
      <patternFill patternType="solid">
        <fgColor theme="0"/>
        <bgColor indexed="64"/>
      </patternFill>
    </fill>
    <fill>
      <patternFill patternType="solid">
        <fgColor rgb="FFFFCC99"/>
        <bgColor indexed="64"/>
      </patternFill>
    </fill>
    <fill>
      <patternFill patternType="solid">
        <fgColor rgb="FFEAEAEA"/>
        <bgColor indexed="64"/>
      </patternFill>
    </fill>
    <fill>
      <patternFill patternType="lightVertical">
        <fgColor rgb="FFEAEAEA"/>
        <bgColor indexed="43"/>
      </patternFill>
    </fill>
    <fill>
      <patternFill patternType="solid">
        <fgColor indexed="27"/>
        <bgColor indexed="64"/>
      </patternFill>
    </fill>
    <fill>
      <patternFill patternType="solid">
        <fgColor indexed="24"/>
      </patternFill>
    </fill>
    <fill>
      <patternFill patternType="solid">
        <fgColor theme="4" tint="0.59999389629810485"/>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rgb="FFFF0066"/>
        <bgColor indexed="64"/>
      </patternFill>
    </fill>
    <fill>
      <patternFill patternType="solid">
        <fgColor rgb="FFCCFFFF"/>
        <bgColor indexed="64"/>
      </patternFill>
    </fill>
    <fill>
      <patternFill patternType="solid">
        <fgColor rgb="FFFF3300"/>
        <bgColor indexed="64"/>
      </patternFill>
    </fill>
    <fill>
      <patternFill patternType="solid">
        <fgColor rgb="FF336699"/>
        <bgColor indexed="64"/>
      </patternFill>
    </fill>
    <fill>
      <patternFill patternType="solid">
        <fgColor theme="8" tint="-0.499984740745262"/>
        <bgColor indexed="64"/>
      </patternFill>
    </fill>
    <fill>
      <patternFill patternType="lightVertical">
        <fgColor theme="0" tint="-0.14996795556505021"/>
        <bgColor indexed="43"/>
      </patternFill>
    </fill>
    <fill>
      <patternFill patternType="solid">
        <fgColor rgb="FFFF9900"/>
        <bgColor indexed="64"/>
      </patternFill>
    </fill>
    <fill>
      <patternFill patternType="solid">
        <fgColor theme="2" tint="-0.749992370372631"/>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FFFF"/>
        <bgColor indexed="64"/>
      </patternFill>
    </fill>
    <fill>
      <patternFill patternType="solid">
        <fgColor indexed="55"/>
        <bgColor indexed="64"/>
      </patternFill>
    </fill>
    <fill>
      <patternFill patternType="solid">
        <fgColor rgb="FFC0C0C0"/>
        <bgColor indexed="64"/>
      </patternFill>
    </fill>
    <fill>
      <patternFill patternType="solid">
        <fgColor rgb="FFF8F8F8"/>
        <bgColor indexed="64"/>
      </patternFill>
    </fill>
    <fill>
      <patternFill patternType="solid">
        <fgColor rgb="FF99FF99"/>
        <bgColor indexed="64"/>
      </patternFill>
    </fill>
  </fills>
  <borders count="6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indexed="24"/>
      </left>
      <right style="thin">
        <color indexed="24"/>
      </right>
      <top style="thin">
        <color indexed="24"/>
      </top>
      <bottom style="thin">
        <color indexed="2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EAEAEA"/>
      </left>
      <right style="thin">
        <color rgb="FFEAEAEA"/>
      </right>
      <top style="thin">
        <color rgb="FFEAEAEA"/>
      </top>
      <bottom style="thin">
        <color rgb="FFEAEAEA"/>
      </bottom>
      <diagonal/>
    </border>
    <border>
      <left style="thin">
        <color indexed="24"/>
      </left>
      <right/>
      <top style="thin">
        <color indexed="24"/>
      </top>
      <bottom style="thin">
        <color indexed="24"/>
      </bottom>
      <diagonal/>
    </border>
    <border>
      <left style="thin">
        <color indexed="24"/>
      </left>
      <right style="thin">
        <color indexed="24"/>
      </right>
      <top style="thin">
        <color indexed="24"/>
      </top>
      <bottom/>
      <diagonal/>
    </border>
    <border>
      <left style="thin">
        <color indexed="24"/>
      </left>
      <right/>
      <top style="thin">
        <color indexed="24"/>
      </top>
      <bottom/>
      <diagonal/>
    </border>
    <border>
      <left style="thin">
        <color indexed="22"/>
      </left>
      <right/>
      <top style="thin">
        <color indexed="22"/>
      </top>
      <bottom style="thin">
        <color indexed="22"/>
      </bottom>
      <diagonal/>
    </border>
    <border>
      <left style="thin">
        <color rgb="FF3333FF"/>
      </left>
      <right style="thin">
        <color indexed="22"/>
      </right>
      <top style="thin">
        <color indexed="22"/>
      </top>
      <bottom style="thin">
        <color indexed="22"/>
      </bottom>
      <diagonal/>
    </border>
    <border>
      <left style="thin">
        <color indexed="24"/>
      </left>
      <right style="thin">
        <color indexed="24"/>
      </right>
      <top/>
      <bottom style="thin">
        <color indexed="24"/>
      </bottom>
      <diagonal/>
    </border>
    <border>
      <left style="thin">
        <color indexed="22"/>
      </left>
      <right style="thin">
        <color indexed="22"/>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right style="thin">
        <color indexed="22"/>
      </right>
      <top style="thin">
        <color indexed="22"/>
      </top>
      <bottom style="thin">
        <color indexed="22"/>
      </bottom>
      <diagonal/>
    </border>
    <border>
      <left style="thick">
        <color rgb="FFEAEAEA"/>
      </left>
      <right style="thick">
        <color rgb="FFEAEAEA"/>
      </right>
      <top style="thin">
        <color indexed="22"/>
      </top>
      <bottom style="thin">
        <color indexed="22"/>
      </bottom>
      <diagonal/>
    </border>
    <border>
      <left style="thick">
        <color rgb="FFEAEAEA"/>
      </left>
      <right style="thick">
        <color rgb="FFEAEAEA"/>
      </right>
      <top style="thin">
        <color indexed="22"/>
      </top>
      <bottom/>
      <diagonal/>
    </border>
    <border>
      <left style="thick">
        <color rgb="FFEAEAEA"/>
      </left>
      <right style="thick">
        <color rgb="FFEAEAEA"/>
      </right>
      <top/>
      <bottom/>
      <diagonal/>
    </border>
    <border>
      <left style="thick">
        <color rgb="FFEAEAEA"/>
      </left>
      <right style="thick">
        <color rgb="FFEAEAEA"/>
      </right>
      <top/>
      <bottom style="thin">
        <color indexed="22"/>
      </bottom>
      <diagonal/>
    </border>
    <border>
      <left style="thick">
        <color rgb="FFEAEAEA"/>
      </left>
      <right/>
      <top style="thin">
        <color indexed="22"/>
      </top>
      <bottom style="thin">
        <color indexed="22"/>
      </bottom>
      <diagonal/>
    </border>
    <border>
      <left/>
      <right/>
      <top style="thin">
        <color indexed="22"/>
      </top>
      <bottom style="thin">
        <color indexed="22"/>
      </bottom>
      <diagonal/>
    </border>
    <border>
      <left/>
      <right style="thick">
        <color rgb="FFEAEAEA"/>
      </right>
      <top style="thin">
        <color indexed="22"/>
      </top>
      <bottom style="thin">
        <color indexed="22"/>
      </bottom>
      <diagonal/>
    </border>
    <border>
      <left/>
      <right/>
      <top style="thin">
        <color rgb="FFEAEAEA"/>
      </top>
      <bottom/>
      <diagonal/>
    </border>
    <border>
      <left/>
      <right style="thin">
        <color rgb="FFEAEAEA"/>
      </right>
      <top style="thin">
        <color rgb="FFEAEAEA"/>
      </top>
      <bottom/>
      <diagonal/>
    </border>
    <border>
      <left style="thin">
        <color rgb="FFEAEAEA"/>
      </left>
      <right style="thin">
        <color rgb="FFEAEAEA"/>
      </right>
      <top style="thin">
        <color rgb="FFEAEAEA"/>
      </top>
      <bottom/>
      <diagonal/>
    </border>
    <border>
      <left style="double">
        <color rgb="FFEAEAEA"/>
      </left>
      <right/>
      <top style="thin">
        <color rgb="FFEAEAEA"/>
      </top>
      <bottom style="thin">
        <color rgb="FFEAEAEA"/>
      </bottom>
      <diagonal/>
    </border>
    <border>
      <left style="thin">
        <color theme="0"/>
      </left>
      <right style="thin">
        <color theme="0"/>
      </right>
      <top style="thin">
        <color theme="0"/>
      </top>
      <bottom style="thin">
        <color theme="0"/>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EAEAEA"/>
      </left>
      <right/>
      <top style="thin">
        <color rgb="FFEAEAEA"/>
      </top>
      <bottom style="thin">
        <color rgb="FFEAEAEA"/>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22"/>
      </left>
      <right/>
      <top style="thin">
        <color rgb="FFDDDDDD"/>
      </top>
      <bottom style="thin">
        <color rgb="FFDDDDDD"/>
      </bottom>
      <diagonal/>
    </border>
    <border>
      <left/>
      <right/>
      <top style="thin">
        <color rgb="FFDDDDDD"/>
      </top>
      <bottom style="thin">
        <color rgb="FFDDDDDD"/>
      </bottom>
      <diagonal/>
    </border>
    <border>
      <left/>
      <right style="thin">
        <color indexed="22"/>
      </right>
      <top style="thin">
        <color rgb="FFDDDDDD"/>
      </top>
      <bottom style="thin">
        <color rgb="FFDDDDDD"/>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rgb="FF969696"/>
      </top>
      <bottom/>
      <diagonal/>
    </border>
    <border>
      <left/>
      <right/>
      <top/>
      <bottom style="thin">
        <color rgb="FF969696"/>
      </bottom>
      <diagonal/>
    </border>
    <border>
      <left style="thin">
        <color indexed="22"/>
      </left>
      <right/>
      <top style="thin">
        <color rgb="FFDDDDDD"/>
      </top>
      <bottom style="thin">
        <color rgb="FF969696"/>
      </bottom>
      <diagonal/>
    </border>
    <border>
      <left/>
      <right/>
      <top style="thin">
        <color rgb="FFDDDDDD"/>
      </top>
      <bottom style="thin">
        <color rgb="FF969696"/>
      </bottom>
      <diagonal/>
    </border>
    <border>
      <left/>
      <right style="thin">
        <color indexed="22"/>
      </right>
      <top style="thin">
        <color rgb="FFDDDDDD"/>
      </top>
      <bottom style="thin">
        <color rgb="FF969696"/>
      </bottom>
      <diagonal/>
    </border>
    <border>
      <left style="thin">
        <color indexed="22"/>
      </left>
      <right/>
      <top/>
      <bottom style="thin">
        <color rgb="FF969696"/>
      </bottom>
      <diagonal/>
    </border>
    <border>
      <left/>
      <right style="thin">
        <color indexed="22"/>
      </right>
      <top/>
      <bottom style="thin">
        <color rgb="FF969696"/>
      </bottom>
      <diagonal/>
    </border>
    <border>
      <left/>
      <right style="thin">
        <color indexed="22"/>
      </right>
      <top style="thin">
        <color rgb="FF969696"/>
      </top>
      <bottom style="thin">
        <color rgb="FFC0C0C0"/>
      </bottom>
      <diagonal/>
    </border>
    <border>
      <left/>
      <right/>
      <top style="thin">
        <color rgb="FF969696"/>
      </top>
      <bottom style="thin">
        <color rgb="FFC0C0C0"/>
      </bottom>
      <diagonal/>
    </border>
    <border>
      <left style="thin">
        <color indexed="22"/>
      </left>
      <right/>
      <top style="thin">
        <color rgb="FF969696"/>
      </top>
      <bottom style="thin">
        <color rgb="FFC0C0C0"/>
      </bottom>
      <diagonal/>
    </border>
  </borders>
  <cellStyleXfs count="106">
    <xf numFmtId="0" fontId="0" fillId="0" borderId="0">
      <alignment vertical="center"/>
    </xf>
    <xf numFmtId="0" fontId="13" fillId="19" borderId="5">
      <alignment vertical="center"/>
      <protection locked="0"/>
    </xf>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 fillId="2" borderId="2" applyNumberFormat="0" applyAlignment="0" applyProtection="0"/>
    <xf numFmtId="0" fontId="4" fillId="2" borderId="1" applyNumberFormat="0" applyAlignment="0" applyProtection="0"/>
    <xf numFmtId="0" fontId="10" fillId="17" borderId="4">
      <alignment vertical="top"/>
    </xf>
    <xf numFmtId="0" fontId="11" fillId="0" borderId="5">
      <alignment horizontal="left" vertical="center" wrapText="1"/>
    </xf>
    <xf numFmtId="0" fontId="12" fillId="18" borderId="6" applyFont="0" applyFill="0" applyBorder="0" applyAlignment="0">
      <alignment horizontal="left" vertical="top" wrapText="1"/>
    </xf>
    <xf numFmtId="0" fontId="13" fillId="19" borderId="5">
      <alignment vertical="top" wrapText="1" shrinkToFit="1"/>
      <protection locked="0"/>
    </xf>
    <xf numFmtId="0" fontId="11" fillId="20" borderId="5">
      <alignment horizontal="center" vertical="center"/>
      <protection locked="0"/>
    </xf>
    <xf numFmtId="0" fontId="13" fillId="19" borderId="5">
      <alignment horizontal="center" vertical="center" shrinkToFit="1"/>
      <protection locked="0"/>
    </xf>
    <xf numFmtId="0" fontId="7" fillId="0" borderId="3" applyNumberFormat="0" applyFill="0" applyAlignment="0" applyProtection="0"/>
    <xf numFmtId="0" fontId="6" fillId="0" borderId="0" applyNumberFormat="0" applyFill="0" applyBorder="0" applyAlignment="0" applyProtection="0"/>
    <xf numFmtId="164" fontId="11" fillId="0" borderId="0" applyFont="0" applyFill="0" applyBorder="0" applyAlignment="0" applyProtection="0">
      <alignment vertical="center"/>
    </xf>
    <xf numFmtId="0" fontId="11" fillId="21" borderId="5">
      <alignment horizontal="center" vertical="center"/>
    </xf>
    <xf numFmtId="0" fontId="11" fillId="21" borderId="5">
      <alignment horizontal="center" vertical="center"/>
    </xf>
    <xf numFmtId="0" fontId="11" fillId="22" borderId="5">
      <alignment vertical="center"/>
      <protection locked="0"/>
    </xf>
    <xf numFmtId="0" fontId="11" fillId="21" borderId="5">
      <alignment vertical="top" shrinkToFit="1"/>
    </xf>
    <xf numFmtId="0" fontId="14" fillId="7" borderId="0" applyNumberFormat="0" applyBorder="0" applyAlignment="0" applyProtection="0"/>
    <xf numFmtId="0" fontId="15" fillId="23" borderId="0">
      <alignment horizontal="left" vertical="center" indent="1"/>
    </xf>
    <xf numFmtId="0" fontId="16" fillId="0" borderId="0" applyNumberFormat="0" applyFill="0" applyBorder="0" applyAlignment="0" applyProtection="0">
      <alignment vertical="top"/>
    </xf>
    <xf numFmtId="0" fontId="13" fillId="19" borderId="5">
      <alignment vertical="top" wrapText="1" shrinkToFit="1"/>
      <protection locked="0"/>
    </xf>
    <xf numFmtId="0" fontId="12" fillId="18" borderId="12">
      <alignment horizontal="left" vertical="top" wrapText="1"/>
    </xf>
    <xf numFmtId="0" fontId="2" fillId="0" borderId="0"/>
    <xf numFmtId="0" fontId="2" fillId="0" borderId="0"/>
    <xf numFmtId="0" fontId="11" fillId="0" borderId="0">
      <alignment vertical="top"/>
    </xf>
    <xf numFmtId="0" fontId="2" fillId="0" borderId="0"/>
    <xf numFmtId="0" fontId="11" fillId="5" borderId="5" applyNumberFormat="0" applyFont="0" applyAlignment="0" applyProtection="0"/>
    <xf numFmtId="0" fontId="17" fillId="24" borderId="0" applyNumberFormat="0" applyBorder="0" applyAlignment="0" applyProtection="0"/>
    <xf numFmtId="0" fontId="10" fillId="0" borderId="0"/>
    <xf numFmtId="0" fontId="10" fillId="0" borderId="0"/>
    <xf numFmtId="0" fontId="18" fillId="0" borderId="0"/>
    <xf numFmtId="0" fontId="10" fillId="0" borderId="0">
      <alignment vertical="top"/>
    </xf>
    <xf numFmtId="0" fontId="11" fillId="0" borderId="0">
      <alignment vertical="top"/>
    </xf>
    <xf numFmtId="0" fontId="2" fillId="0" borderId="0">
      <alignment vertical="top"/>
    </xf>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5" borderId="0">
      <alignment vertical="center"/>
    </xf>
    <xf numFmtId="0" fontId="23" fillId="25" borderId="0">
      <alignment horizontal="left" vertical="center" indent="1"/>
    </xf>
    <xf numFmtId="165" fontId="11" fillId="21" borderId="5">
      <alignment vertical="center" shrinkToFit="1"/>
    </xf>
    <xf numFmtId="0" fontId="24" fillId="0" borderId="10" applyNumberFormat="0" applyFill="0" applyAlignment="0" applyProtection="0"/>
    <xf numFmtId="0" fontId="5" fillId="0" borderId="0" applyNumberFormat="0" applyFill="0" applyBorder="0" applyAlignment="0" applyProtection="0"/>
    <xf numFmtId="0" fontId="25" fillId="26" borderId="11" applyNumberFormat="0" applyAlignment="0" applyProtection="0"/>
    <xf numFmtId="9" fontId="11" fillId="0" borderId="0" applyFont="0" applyFill="0" applyBorder="0" applyAlignment="0" applyProtection="0"/>
    <xf numFmtId="0" fontId="12" fillId="18" borderId="12">
      <alignment horizontal="left" vertical="top" wrapText="1"/>
    </xf>
    <xf numFmtId="0" fontId="1" fillId="0" borderId="0">
      <alignment vertical="top"/>
    </xf>
    <xf numFmtId="9" fontId="10" fillId="0" borderId="0" applyFont="0" applyFill="0" applyBorder="0" applyAlignment="0" applyProtection="0"/>
    <xf numFmtId="0" fontId="12" fillId="0" borderId="0" applyNumberFormat="0" applyFill="0" applyBorder="0" applyAlignment="0" applyProtection="0">
      <alignment vertical="top"/>
    </xf>
    <xf numFmtId="0" fontId="11" fillId="0" borderId="5">
      <alignment horizontal="left" vertical="center" wrapText="1"/>
    </xf>
    <xf numFmtId="0" fontId="11" fillId="21" borderId="5">
      <alignment vertical="top" wrapText="1"/>
    </xf>
    <xf numFmtId="0" fontId="11" fillId="22" borderId="5">
      <alignment vertical="top" wrapText="1"/>
    </xf>
    <xf numFmtId="0" fontId="13" fillId="31" borderId="5">
      <alignment vertical="top" wrapText="1"/>
      <protection locked="0"/>
    </xf>
    <xf numFmtId="0" fontId="9" fillId="12"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6" fillId="33" borderId="20" applyNumberFormat="0" applyAlignment="0" applyProtection="0"/>
    <xf numFmtId="0" fontId="37" fillId="33" borderId="21" applyNumberFormat="0" applyAlignment="0" applyProtection="0"/>
    <xf numFmtId="0" fontId="38" fillId="0" borderId="22" applyNumberFormat="0" applyFill="0" applyAlignment="0" applyProtection="0"/>
    <xf numFmtId="0" fontId="39" fillId="0" borderId="0" applyNumberFormat="0" applyFill="0" applyBorder="0" applyAlignment="0" applyProtection="0"/>
    <xf numFmtId="0" fontId="14" fillId="7" borderId="0" applyNumberFormat="0" applyBorder="0" applyAlignment="0" applyProtection="0"/>
    <xf numFmtId="0" fontId="11" fillId="5" borderId="5" applyNumberFormat="0" applyFont="0" applyAlignment="0" applyProtection="0"/>
    <xf numFmtId="0" fontId="17" fillId="24" borderId="0" applyNumberFormat="0" applyBorder="0" applyAlignment="0" applyProtection="0"/>
    <xf numFmtId="0" fontId="10" fillId="0" borderId="0">
      <alignment vertical="top"/>
    </xf>
    <xf numFmtId="0" fontId="22"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4" fillId="0" borderId="10" applyNumberFormat="0" applyFill="0" applyAlignment="0" applyProtection="0"/>
    <xf numFmtId="0" fontId="40" fillId="0" borderId="0" applyNumberFormat="0" applyFill="0" applyBorder="0" applyAlignment="0" applyProtection="0"/>
    <xf numFmtId="0" fontId="25" fillId="26" borderId="11" applyNumberFormat="0" applyAlignment="0" applyProtection="0"/>
    <xf numFmtId="172" fontId="13" fillId="19" borderId="5">
      <alignment vertical="top" wrapText="1" shrinkToFit="1"/>
      <protection locked="0"/>
    </xf>
    <xf numFmtId="0" fontId="13" fillId="44" borderId="5">
      <alignment vertical="top" wrapText="1" shrinkToFit="1"/>
      <protection locked="0"/>
    </xf>
    <xf numFmtId="0" fontId="62" fillId="0" borderId="0" applyNumberFormat="0" applyFill="0" applyBorder="0" applyAlignment="0" applyProtection="0">
      <alignment vertical="center"/>
    </xf>
    <xf numFmtId="0" fontId="11" fillId="0" borderId="0"/>
    <xf numFmtId="0" fontId="11" fillId="0" borderId="0">
      <alignment vertical="center"/>
    </xf>
    <xf numFmtId="0" fontId="11" fillId="0" borderId="0"/>
  </cellStyleXfs>
  <cellXfs count="418">
    <xf numFmtId="0" fontId="0" fillId="0" borderId="0" xfId="0">
      <alignment vertical="center"/>
    </xf>
    <xf numFmtId="0" fontId="12" fillId="18" borderId="12" xfId="45">
      <alignment horizontal="left" vertical="top" wrapText="1"/>
    </xf>
    <xf numFmtId="0" fontId="12" fillId="27" borderId="12" xfId="45" applyFill="1">
      <alignment horizontal="left" vertical="top" wrapText="1"/>
    </xf>
    <xf numFmtId="0" fontId="13" fillId="19" borderId="5" xfId="44">
      <alignment vertical="top" wrapText="1" shrinkToFit="1"/>
      <protection locked="0"/>
    </xf>
    <xf numFmtId="0" fontId="11" fillId="18" borderId="12" xfId="45" applyFont="1">
      <alignment horizontal="left" vertical="top" wrapText="1"/>
    </xf>
    <xf numFmtId="0" fontId="0" fillId="0" borderId="0" xfId="0" applyAlignment="1">
      <alignment vertical="center" wrapText="1"/>
    </xf>
    <xf numFmtId="0" fontId="0" fillId="0" borderId="0" xfId="0" applyAlignment="1">
      <alignment vertical="top" wrapText="1"/>
    </xf>
    <xf numFmtId="0" fontId="13" fillId="19" borderId="5" xfId="44" applyAlignment="1">
      <alignment vertical="center" wrapText="1" shrinkToFit="1"/>
      <protection locked="0"/>
    </xf>
    <xf numFmtId="0" fontId="0" fillId="0" borderId="0" xfId="0" applyAlignment="1">
      <alignment vertical="center"/>
    </xf>
    <xf numFmtId="166" fontId="11" fillId="21" borderId="5" xfId="40" applyNumberFormat="1" applyAlignment="1">
      <alignment vertical="center" shrinkToFit="1"/>
    </xf>
    <xf numFmtId="169" fontId="11" fillId="21" borderId="5" xfId="40" applyNumberFormat="1" applyAlignment="1">
      <alignment vertical="center" shrinkToFit="1"/>
    </xf>
    <xf numFmtId="0" fontId="0" fillId="0" borderId="0" xfId="0" applyFont="1" applyAlignment="1">
      <alignment vertical="top" wrapText="1"/>
    </xf>
    <xf numFmtId="0" fontId="13" fillId="29" borderId="5" xfId="44" applyFill="1" applyAlignment="1">
      <alignment vertical="center" wrapText="1" shrinkToFit="1"/>
      <protection locked="0"/>
    </xf>
    <xf numFmtId="169" fontId="12" fillId="21" borderId="5" xfId="40" applyNumberFormat="1" applyFont="1" applyAlignment="1">
      <alignment vertical="center" shrinkToFit="1"/>
    </xf>
    <xf numFmtId="0" fontId="0" fillId="0" borderId="0" xfId="0" applyAlignment="1">
      <alignment vertical="top"/>
    </xf>
    <xf numFmtId="0" fontId="11" fillId="27" borderId="12" xfId="45" applyFont="1" applyFill="1">
      <alignment horizontal="left" vertical="top" wrapText="1"/>
    </xf>
    <xf numFmtId="0" fontId="28" fillId="27" borderId="12" xfId="45" applyFont="1" applyFill="1">
      <alignment horizontal="left" vertical="top" wrapText="1"/>
    </xf>
    <xf numFmtId="1" fontId="28" fillId="30" borderId="5" xfId="40" quotePrefix="1" applyNumberFormat="1" applyFont="1" applyFill="1" applyAlignment="1">
      <alignment vertical="center" shrinkToFit="1"/>
    </xf>
    <xf numFmtId="1" fontId="11" fillId="28" borderId="5" xfId="44" applyNumberFormat="1" applyFont="1" applyFill="1" applyAlignment="1">
      <alignment vertical="center" wrapText="1" shrinkToFit="1"/>
      <protection locked="0"/>
    </xf>
    <xf numFmtId="0" fontId="13" fillId="19" borderId="5" xfId="44" applyFont="1" applyAlignment="1">
      <alignment vertical="center" wrapText="1" shrinkToFit="1"/>
      <protection locked="0"/>
    </xf>
    <xf numFmtId="0" fontId="11" fillId="22" borderId="5" xfId="76" quotePrefix="1" applyFont="1" applyAlignment="1">
      <alignment vertical="center" wrapText="1"/>
    </xf>
    <xf numFmtId="9" fontId="11" fillId="22" borderId="5" xfId="69" quotePrefix="1" applyFont="1" applyFill="1" applyBorder="1" applyAlignment="1">
      <alignment vertical="center" wrapText="1"/>
    </xf>
    <xf numFmtId="166" fontId="11" fillId="22" borderId="5" xfId="76" quotePrefix="1" applyNumberFormat="1" applyFont="1" applyAlignment="1">
      <alignment vertical="center" wrapText="1"/>
    </xf>
    <xf numFmtId="166" fontId="11" fillId="28" borderId="5" xfId="44" applyNumberFormat="1" applyFont="1" applyFill="1" applyAlignment="1">
      <alignment vertical="center" wrapText="1" shrinkToFit="1"/>
      <protection locked="0"/>
    </xf>
    <xf numFmtId="167" fontId="11" fillId="22" borderId="5" xfId="76" applyNumberFormat="1" applyAlignment="1">
      <alignment vertical="center" wrapText="1"/>
    </xf>
    <xf numFmtId="1" fontId="13" fillId="19" borderId="5" xfId="44" applyNumberFormat="1">
      <alignment vertical="top" wrapText="1" shrinkToFit="1"/>
      <protection locked="0"/>
    </xf>
    <xf numFmtId="2" fontId="12" fillId="28" borderId="5" xfId="44" applyNumberFormat="1" applyFont="1" applyFill="1" applyAlignment="1">
      <alignment vertical="center" wrapText="1" shrinkToFit="1"/>
      <protection locked="0"/>
    </xf>
    <xf numFmtId="1" fontId="12" fillId="28" borderId="5" xfId="44" applyNumberFormat="1" applyFont="1" applyFill="1" applyAlignment="1">
      <alignment vertical="center" wrapText="1" shrinkToFit="1"/>
      <protection locked="0"/>
    </xf>
    <xf numFmtId="0" fontId="13" fillId="31" borderId="5" xfId="44" applyFont="1" applyFill="1" applyAlignment="1">
      <alignment vertical="center" wrapText="1" shrinkToFit="1"/>
      <protection locked="0"/>
    </xf>
    <xf numFmtId="1" fontId="28" fillId="30" borderId="5" xfId="40" quotePrefix="1" applyNumberFormat="1" applyFont="1" applyFill="1" applyAlignment="1">
      <alignment vertical="center" wrapText="1" shrinkToFit="1"/>
    </xf>
    <xf numFmtId="9" fontId="12" fillId="28" borderId="5" xfId="69" applyFont="1" applyFill="1" applyBorder="1" applyAlignment="1" applyProtection="1">
      <alignment vertical="center" wrapText="1" shrinkToFit="1"/>
      <protection locked="0"/>
    </xf>
    <xf numFmtId="0" fontId="12" fillId="18" borderId="12" xfId="45" applyAlignment="1">
      <alignment horizontal="left" vertical="top" wrapText="1"/>
    </xf>
    <xf numFmtId="2" fontId="12" fillId="21" borderId="5" xfId="40" quotePrefix="1" applyNumberFormat="1" applyFont="1" applyAlignment="1">
      <alignment horizontal="center" vertical="center" shrinkToFit="1"/>
    </xf>
    <xf numFmtId="168" fontId="11" fillId="22" borderId="5" xfId="76" applyNumberFormat="1" applyAlignment="1">
      <alignment vertical="center" wrapText="1"/>
    </xf>
    <xf numFmtId="170" fontId="11" fillId="22" borderId="5" xfId="76" applyNumberFormat="1" applyAlignment="1">
      <alignment vertical="center" wrapText="1"/>
    </xf>
    <xf numFmtId="9" fontId="11" fillId="21" borderId="5" xfId="69" applyFill="1" applyBorder="1" applyAlignment="1">
      <alignment vertical="center" shrinkToFit="1"/>
    </xf>
    <xf numFmtId="0" fontId="11" fillId="21" borderId="5" xfId="69" applyNumberFormat="1" applyFill="1" applyBorder="1" applyAlignment="1">
      <alignment vertical="center" shrinkToFit="1"/>
    </xf>
    <xf numFmtId="169" fontId="11" fillId="21" borderId="5" xfId="40" applyNumberFormat="1" applyFont="1" applyAlignment="1">
      <alignment vertical="center" shrinkToFit="1"/>
    </xf>
    <xf numFmtId="172" fontId="13" fillId="19" borderId="5" xfId="44" applyNumberFormat="1">
      <alignment vertical="top" wrapText="1" shrinkToFit="1"/>
      <protection locked="0"/>
    </xf>
    <xf numFmtId="0" fontId="28" fillId="30" borderId="12" xfId="45" applyFont="1" applyFill="1">
      <alignment horizontal="left" vertical="top" wrapText="1"/>
    </xf>
    <xf numFmtId="0" fontId="13" fillId="19" borderId="5" xfId="44" applyNumberFormat="1">
      <alignment vertical="top" wrapText="1" shrinkToFit="1"/>
      <protection locked="0"/>
    </xf>
    <xf numFmtId="0" fontId="23" fillId="25" borderId="0" xfId="63" applyAlignment="1">
      <alignment horizontal="left" vertical="center" indent="1"/>
    </xf>
    <xf numFmtId="0" fontId="0" fillId="30" borderId="0" xfId="0" applyFill="1" applyAlignment="1" applyProtection="1">
      <protection hidden="1"/>
    </xf>
    <xf numFmtId="0" fontId="0" fillId="30" borderId="0" xfId="0" applyFill="1" applyAlignment="1" applyProtection="1">
      <alignment horizontal="right"/>
      <protection hidden="1"/>
    </xf>
    <xf numFmtId="0" fontId="0" fillId="30" borderId="0" xfId="0" applyFill="1" applyBorder="1" applyAlignment="1" applyProtection="1">
      <alignment horizontal="center"/>
      <protection hidden="1"/>
    </xf>
    <xf numFmtId="0" fontId="0" fillId="30" borderId="0" xfId="0" applyFill="1" applyBorder="1" applyAlignment="1" applyProtection="1">
      <protection hidden="1"/>
    </xf>
    <xf numFmtId="0" fontId="0" fillId="30" borderId="0" xfId="0" applyFill="1" applyAlignment="1"/>
    <xf numFmtId="0" fontId="0" fillId="0" borderId="0" xfId="0" applyAlignment="1"/>
    <xf numFmtId="0" fontId="31" fillId="30" borderId="0" xfId="0" applyFont="1" applyFill="1" applyAlignment="1" applyProtection="1">
      <protection hidden="1"/>
    </xf>
    <xf numFmtId="0" fontId="31" fillId="30" borderId="0" xfId="0" applyFont="1" applyFill="1" applyAlignment="1" applyProtection="1">
      <alignment horizontal="right"/>
      <protection hidden="1"/>
    </xf>
    <xf numFmtId="0" fontId="31" fillId="30" borderId="0" xfId="0" applyFont="1" applyFill="1" applyBorder="1" applyAlignment="1" applyProtection="1">
      <alignment horizontal="center"/>
      <protection hidden="1"/>
    </xf>
    <xf numFmtId="0" fontId="31" fillId="30" borderId="0" xfId="0" applyFont="1" applyFill="1" applyBorder="1" applyAlignment="1" applyProtection="1">
      <protection hidden="1"/>
    </xf>
    <xf numFmtId="0" fontId="31" fillId="30" borderId="0" xfId="0" applyFont="1" applyFill="1" applyBorder="1" applyAlignment="1" applyProtection="1">
      <alignment horizontal="right"/>
      <protection hidden="1"/>
    </xf>
    <xf numFmtId="0" fontId="0" fillId="30" borderId="0" xfId="0" applyFill="1" applyAlignment="1">
      <alignment horizontal="left"/>
    </xf>
    <xf numFmtId="0" fontId="32" fillId="0" borderId="0" xfId="0" applyFont="1" applyAlignment="1">
      <alignment horizontal="left" vertical="center"/>
    </xf>
    <xf numFmtId="0" fontId="0" fillId="30" borderId="0" xfId="0" applyFill="1">
      <alignment vertical="center"/>
    </xf>
    <xf numFmtId="0" fontId="0" fillId="30" borderId="0" xfId="0" applyFill="1" applyAlignment="1">
      <alignment horizontal="right" vertical="center"/>
    </xf>
    <xf numFmtId="0" fontId="11" fillId="18" borderId="12" xfId="70" applyFont="1" applyAlignment="1">
      <alignment horizontal="left" vertical="top" wrapText="1"/>
    </xf>
    <xf numFmtId="0" fontId="11" fillId="18" borderId="12" xfId="70" applyFont="1">
      <alignment horizontal="left" vertical="top" wrapText="1"/>
    </xf>
    <xf numFmtId="0" fontId="11" fillId="18" borderId="13" xfId="70" applyFont="1" applyBorder="1">
      <alignment horizontal="left" vertical="top" wrapText="1"/>
    </xf>
    <xf numFmtId="0" fontId="34" fillId="18" borderId="14" xfId="70" applyFont="1" applyBorder="1" applyAlignment="1">
      <alignment horizontal="left" vertical="top" wrapText="1"/>
    </xf>
    <xf numFmtId="0" fontId="34" fillId="18" borderId="14" xfId="70" applyFont="1" applyBorder="1">
      <alignment horizontal="left" vertical="top" wrapText="1"/>
    </xf>
    <xf numFmtId="0" fontId="34" fillId="18" borderId="15" xfId="70" applyFont="1" applyBorder="1">
      <alignment horizontal="left" vertical="top" wrapText="1"/>
    </xf>
    <xf numFmtId="0" fontId="35" fillId="0" borderId="5" xfId="70" applyFont="1" applyFill="1" applyBorder="1" applyAlignment="1">
      <alignment horizontal="left" vertical="top" wrapText="1"/>
    </xf>
    <xf numFmtId="0" fontId="35" fillId="0" borderId="16" xfId="70" applyFont="1" applyFill="1" applyBorder="1" applyAlignment="1">
      <alignment horizontal="left" vertical="top" wrapText="1"/>
    </xf>
    <xf numFmtId="0" fontId="35" fillId="0" borderId="17" xfId="70" applyFont="1" applyFill="1" applyBorder="1" applyAlignment="1">
      <alignment horizontal="left" vertical="top" wrapText="1"/>
    </xf>
    <xf numFmtId="0" fontId="35" fillId="32" borderId="18" xfId="70" applyFont="1" applyFill="1" applyBorder="1" applyAlignment="1">
      <alignment horizontal="left" vertical="top" wrapText="1"/>
    </xf>
    <xf numFmtId="0" fontId="34" fillId="32" borderId="18" xfId="70" applyFont="1" applyFill="1" applyBorder="1">
      <alignment horizontal="left" vertical="top" wrapText="1"/>
    </xf>
    <xf numFmtId="0" fontId="35" fillId="32" borderId="12" xfId="70" applyFont="1" applyFill="1" applyAlignment="1">
      <alignment horizontal="left" vertical="top" wrapText="1"/>
    </xf>
    <xf numFmtId="0" fontId="12" fillId="18" borderId="12" xfId="70" applyFont="1" applyAlignment="1">
      <alignment horizontal="left" vertical="top" wrapText="1" indent="1"/>
    </xf>
    <xf numFmtId="0" fontId="13" fillId="31" borderId="5" xfId="77" applyAlignment="1">
      <alignment horizontal="left" vertical="top" wrapText="1"/>
      <protection locked="0"/>
    </xf>
    <xf numFmtId="0" fontId="11" fillId="21" borderId="5" xfId="75" applyFont="1" applyAlignment="1">
      <alignment vertical="top"/>
    </xf>
    <xf numFmtId="1" fontId="11" fillId="22" borderId="19" xfId="76" applyNumberFormat="1" applyFont="1" applyFill="1" applyBorder="1" applyAlignment="1">
      <alignment vertical="top"/>
    </xf>
    <xf numFmtId="0" fontId="4" fillId="3" borderId="1" xfId="15" applyFont="1" applyFill="1" applyBorder="1" applyAlignment="1" applyProtection="1">
      <alignment vertical="top" wrapText="1" shrinkToFit="1"/>
      <protection locked="0"/>
    </xf>
    <xf numFmtId="0" fontId="11" fillId="0" borderId="0" xfId="48">
      <alignment vertical="top"/>
    </xf>
    <xf numFmtId="0" fontId="12" fillId="18" borderId="12" xfId="70" applyFont="1" applyAlignment="1">
      <alignment horizontal="left" vertical="top" wrapText="1"/>
    </xf>
    <xf numFmtId="0" fontId="12" fillId="18" borderId="12" xfId="70" applyFont="1">
      <alignment horizontal="left" vertical="top" wrapText="1"/>
    </xf>
    <xf numFmtId="0" fontId="12" fillId="18" borderId="13" xfId="70" applyFont="1" applyBorder="1">
      <alignment horizontal="left" vertical="top" wrapText="1"/>
    </xf>
    <xf numFmtId="0" fontId="41" fillId="0" borderId="0" xfId="91" applyFont="1" applyAlignment="1">
      <alignment vertical="top"/>
    </xf>
    <xf numFmtId="0" fontId="11" fillId="0" borderId="0" xfId="91" applyFont="1" applyAlignment="1">
      <alignment vertical="top"/>
    </xf>
    <xf numFmtId="0" fontId="34" fillId="0" borderId="0" xfId="91" applyFont="1" applyAlignment="1">
      <alignment vertical="top"/>
    </xf>
    <xf numFmtId="0" fontId="35" fillId="0" borderId="0" xfId="91" applyFont="1" applyAlignment="1">
      <alignment vertical="top"/>
    </xf>
    <xf numFmtId="173" fontId="11" fillId="32" borderId="18" xfId="70" applyNumberFormat="1" applyFont="1" applyFill="1" applyBorder="1">
      <alignment horizontal="left" vertical="top" wrapText="1"/>
    </xf>
    <xf numFmtId="0" fontId="42" fillId="32" borderId="18" xfId="70" applyFont="1" applyFill="1" applyBorder="1">
      <alignment horizontal="left" vertical="top" wrapText="1"/>
    </xf>
    <xf numFmtId="0" fontId="11" fillId="0" borderId="0" xfId="91" applyFont="1">
      <alignment vertical="top"/>
    </xf>
    <xf numFmtId="0" fontId="13" fillId="19" borderId="5" xfId="44" applyNumberFormat="1" applyAlignment="1">
      <alignment vertical="top" wrapText="1" shrinkToFit="1"/>
      <protection locked="0"/>
    </xf>
    <xf numFmtId="2" fontId="13" fillId="19" borderId="5" xfId="44" applyNumberFormat="1" applyAlignment="1">
      <alignment vertical="top" wrapText="1" shrinkToFit="1"/>
      <protection locked="0"/>
    </xf>
    <xf numFmtId="9" fontId="13" fillId="19" borderId="5" xfId="44" applyNumberFormat="1" applyAlignment="1">
      <alignment vertical="top" wrapText="1" shrinkToFit="1"/>
      <protection locked="0"/>
    </xf>
    <xf numFmtId="0" fontId="26" fillId="19" borderId="5" xfId="44" applyNumberFormat="1" applyFont="1" applyAlignment="1">
      <alignment vertical="top" wrapText="1" shrinkToFit="1"/>
      <protection locked="0"/>
    </xf>
    <xf numFmtId="0" fontId="12" fillId="18" borderId="12" xfId="70" applyAlignment="1">
      <alignment horizontal="left" vertical="top" wrapText="1" indent="1"/>
    </xf>
    <xf numFmtId="0" fontId="11" fillId="0" borderId="5" xfId="29">
      <alignment horizontal="left" vertical="center" wrapText="1"/>
    </xf>
    <xf numFmtId="0" fontId="11" fillId="0" borderId="0" xfId="30" applyFont="1" applyFill="1" applyBorder="1" applyAlignment="1"/>
    <xf numFmtId="0" fontId="13" fillId="19" borderId="5" xfId="44" applyNumberFormat="1" applyFont="1" applyAlignment="1">
      <alignment vertical="top" wrapText="1" shrinkToFit="1"/>
      <protection locked="0"/>
    </xf>
    <xf numFmtId="0" fontId="11" fillId="0" borderId="0" xfId="0" applyFont="1" applyAlignment="1">
      <alignment vertical="top"/>
    </xf>
    <xf numFmtId="172" fontId="13" fillId="19" borderId="5" xfId="100" applyBorder="1">
      <alignment vertical="top" wrapText="1" shrinkToFit="1"/>
      <protection locked="0"/>
    </xf>
    <xf numFmtId="168" fontId="12" fillId="21" borderId="5" xfId="40" applyNumberFormat="1" applyFont="1" applyAlignment="1">
      <alignment vertical="center" shrinkToFit="1"/>
    </xf>
    <xf numFmtId="168" fontId="11" fillId="21" borderId="5" xfId="40" applyNumberFormat="1" applyFont="1" applyAlignment="1">
      <alignment vertical="center" shrinkToFit="1"/>
    </xf>
    <xf numFmtId="167" fontId="12" fillId="22" borderId="5" xfId="76" applyNumberFormat="1" applyFont="1" applyAlignment="1">
      <alignment vertical="center" wrapText="1"/>
    </xf>
    <xf numFmtId="0" fontId="11" fillId="20" borderId="5" xfId="32" applyAlignment="1">
      <alignment horizontal="left" vertical="center" wrapText="1"/>
      <protection locked="0"/>
    </xf>
    <xf numFmtId="0" fontId="47" fillId="27" borderId="12" xfId="45" applyFont="1" applyFill="1">
      <alignment horizontal="left" vertical="top" wrapText="1"/>
    </xf>
    <xf numFmtId="0" fontId="11" fillId="40" borderId="5" xfId="76" applyFill="1">
      <alignment vertical="top" wrapText="1"/>
    </xf>
    <xf numFmtId="2" fontId="12" fillId="21" borderId="5" xfId="40" applyNumberFormat="1" applyFont="1" applyAlignment="1">
      <alignment vertical="center" shrinkToFit="1"/>
    </xf>
    <xf numFmtId="166" fontId="12" fillId="21" borderId="5" xfId="40" applyNumberFormat="1" applyFont="1" applyAlignment="1">
      <alignment vertical="center" shrinkToFit="1"/>
    </xf>
    <xf numFmtId="171" fontId="12" fillId="21" borderId="5" xfId="40" applyNumberFormat="1" applyFont="1" applyAlignment="1">
      <alignment vertical="center" shrinkToFit="1"/>
    </xf>
    <xf numFmtId="174" fontId="11" fillId="22" borderId="5" xfId="76" quotePrefix="1" applyNumberFormat="1" applyFont="1" applyAlignment="1">
      <alignment vertical="center" wrapText="1"/>
    </xf>
    <xf numFmtId="2" fontId="11" fillId="22" borderId="5" xfId="76" quotePrefix="1" applyNumberFormat="1" applyFont="1" applyAlignment="1">
      <alignment vertical="center" wrapText="1"/>
    </xf>
    <xf numFmtId="1" fontId="13" fillId="19" borderId="5" xfId="44" quotePrefix="1" applyNumberFormat="1">
      <alignment vertical="top" wrapText="1" shrinkToFit="1"/>
      <protection locked="0"/>
    </xf>
    <xf numFmtId="0" fontId="33" fillId="0" borderId="0" xfId="0" applyFont="1">
      <alignment vertical="center"/>
    </xf>
    <xf numFmtId="1" fontId="13" fillId="19" borderId="5" xfId="44" quotePrefix="1" applyNumberFormat="1" applyAlignment="1">
      <alignment horizontal="center" vertical="center" wrapText="1" shrinkToFit="1"/>
      <protection locked="0"/>
    </xf>
    <xf numFmtId="0" fontId="33" fillId="21" borderId="25" xfId="40" applyFont="1" applyBorder="1" applyAlignment="1">
      <alignment vertical="top" wrapText="1" shrinkToFit="1"/>
    </xf>
    <xf numFmtId="0" fontId="33" fillId="21" borderId="25" xfId="40" applyFont="1" applyBorder="1" applyAlignment="1">
      <alignment horizontal="center" vertical="top" wrapText="1" shrinkToFit="1"/>
    </xf>
    <xf numFmtId="0" fontId="33" fillId="21" borderId="26" xfId="40" applyFont="1" applyBorder="1" applyAlignment="1">
      <alignment vertical="top" wrapText="1" shrinkToFit="1"/>
    </xf>
    <xf numFmtId="0" fontId="48" fillId="21" borderId="26" xfId="40" applyFont="1" applyBorder="1" applyAlignment="1">
      <alignment horizontal="center" vertical="top" shrinkToFit="1"/>
    </xf>
    <xf numFmtId="0" fontId="33" fillId="21" borderId="27" xfId="40" applyFont="1" applyBorder="1" applyAlignment="1">
      <alignment vertical="top" wrapText="1" shrinkToFit="1"/>
    </xf>
    <xf numFmtId="0" fontId="33" fillId="21" borderId="24" xfId="40" applyFont="1" applyBorder="1" applyAlignment="1">
      <alignment horizontal="left" vertical="top" wrapText="1" indent="1" shrinkToFit="1"/>
    </xf>
    <xf numFmtId="2" fontId="13" fillId="19" borderId="5" xfId="44" applyNumberFormat="1" applyBorder="1">
      <alignment vertical="top" wrapText="1" shrinkToFit="1"/>
      <protection locked="0"/>
    </xf>
    <xf numFmtId="172" fontId="13" fillId="19" borderId="5" xfId="44" applyNumberFormat="1" applyBorder="1">
      <alignment vertical="top" wrapText="1" shrinkToFit="1"/>
      <protection locked="0"/>
    </xf>
    <xf numFmtId="0" fontId="13" fillId="19" borderId="5" xfId="44" applyBorder="1">
      <alignment vertical="top" wrapText="1" shrinkToFit="1"/>
      <protection locked="0"/>
    </xf>
    <xf numFmtId="0" fontId="41" fillId="0" borderId="0" xfId="0" applyFont="1" applyAlignment="1">
      <alignment vertical="top"/>
    </xf>
    <xf numFmtId="0" fontId="49" fillId="18" borderId="12" xfId="70" applyFont="1" applyAlignment="1">
      <alignment horizontal="left" vertical="top" wrapText="1"/>
    </xf>
    <xf numFmtId="0" fontId="49" fillId="18" borderId="12" xfId="70" applyFont="1">
      <alignment horizontal="left" vertical="top" wrapText="1"/>
    </xf>
    <xf numFmtId="0" fontId="49" fillId="0" borderId="0" xfId="0" applyFont="1" applyAlignment="1">
      <alignment vertical="top"/>
    </xf>
    <xf numFmtId="0" fontId="49" fillId="0" borderId="0" xfId="91" applyFont="1" applyAlignment="1">
      <alignment vertical="top"/>
    </xf>
    <xf numFmtId="0" fontId="49" fillId="18" borderId="12" xfId="45" applyFont="1">
      <alignment horizontal="left" vertical="top" wrapText="1"/>
    </xf>
    <xf numFmtId="0" fontId="35" fillId="0" borderId="5" xfId="45" applyFont="1" applyFill="1" applyBorder="1" applyAlignment="1">
      <alignment horizontal="left" vertical="top" wrapText="1"/>
    </xf>
    <xf numFmtId="0" fontId="35" fillId="32" borderId="18" xfId="45" applyFont="1" applyFill="1" applyBorder="1" applyAlignment="1">
      <alignment horizontal="left" vertical="top" wrapText="1"/>
    </xf>
    <xf numFmtId="0" fontId="35" fillId="32" borderId="12" xfId="45" applyFont="1" applyFill="1" applyAlignment="1">
      <alignment horizontal="left" vertical="top" wrapText="1"/>
    </xf>
    <xf numFmtId="0" fontId="12" fillId="18" borderId="12" xfId="45" applyFont="1" applyAlignment="1">
      <alignment horizontal="left" vertical="top" wrapText="1" indent="1"/>
    </xf>
    <xf numFmtId="0" fontId="50" fillId="21" borderId="24" xfId="40" applyNumberFormat="1" applyFont="1" applyBorder="1" applyAlignment="1">
      <alignment horizontal="right" wrapText="1" shrinkToFit="1"/>
    </xf>
    <xf numFmtId="1" fontId="33" fillId="21" borderId="24" xfId="40" applyNumberFormat="1" applyFont="1" applyBorder="1" applyAlignment="1">
      <alignment horizontal="center" vertical="center" wrapText="1" shrinkToFit="1"/>
    </xf>
    <xf numFmtId="22" fontId="51" fillId="21" borderId="30" xfId="40" applyNumberFormat="1" applyFont="1" applyBorder="1" applyAlignment="1">
      <alignment vertical="center" wrapText="1" shrinkToFit="1"/>
    </xf>
    <xf numFmtId="0" fontId="12" fillId="18" borderId="12" xfId="45" applyAlignment="1">
      <alignment horizontal="left" vertical="top"/>
    </xf>
    <xf numFmtId="0" fontId="12" fillId="18" borderId="12" xfId="45" applyFont="1">
      <alignment horizontal="left" vertical="top" wrapText="1"/>
    </xf>
    <xf numFmtId="0" fontId="52" fillId="42" borderId="31" xfId="0" applyFont="1" applyFill="1" applyBorder="1" applyAlignment="1">
      <alignment vertical="center"/>
    </xf>
    <xf numFmtId="0" fontId="0" fillId="42" borderId="31" xfId="0" applyFill="1" applyBorder="1" applyAlignment="1">
      <alignment horizontal="center" vertical="center" wrapText="1"/>
    </xf>
    <xf numFmtId="0" fontId="0" fillId="42" borderId="32" xfId="0" applyFill="1" applyBorder="1" applyAlignment="1">
      <alignment vertical="center" wrapText="1"/>
    </xf>
    <xf numFmtId="0" fontId="53" fillId="42" borderId="33" xfId="0" applyFont="1" applyFill="1" applyBorder="1" applyAlignment="1">
      <alignment horizontal="center" vertical="center" wrapText="1"/>
    </xf>
    <xf numFmtId="0" fontId="53" fillId="42" borderId="33" xfId="0" applyFont="1" applyFill="1" applyBorder="1" applyAlignment="1">
      <alignment vertical="center" wrapText="1"/>
    </xf>
    <xf numFmtId="0" fontId="53" fillId="42" borderId="33" xfId="0" applyFont="1" applyFill="1" applyBorder="1">
      <alignment vertical="center"/>
    </xf>
    <xf numFmtId="0" fontId="28" fillId="42" borderId="33" xfId="0" applyFont="1" applyFill="1" applyBorder="1">
      <alignment vertical="center"/>
    </xf>
    <xf numFmtId="0" fontId="52" fillId="42" borderId="0" xfId="0" applyFont="1" applyFill="1"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28" fillId="0" borderId="0" xfId="0" applyFont="1">
      <alignment vertical="center"/>
    </xf>
    <xf numFmtId="0" fontId="0" fillId="0" borderId="0" xfId="0"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55" fillId="43" borderId="34" xfId="45" applyFont="1" applyFill="1" applyBorder="1" applyAlignment="1">
      <alignment horizontal="left" vertical="center" indent="2"/>
    </xf>
    <xf numFmtId="0" fontId="11" fillId="27" borderId="33" xfId="45" applyFont="1" applyFill="1" applyBorder="1">
      <alignment horizontal="left" vertical="top" wrapText="1"/>
    </xf>
    <xf numFmtId="0" fontId="11" fillId="30" borderId="35" xfId="45" applyFont="1" applyFill="1" applyBorder="1">
      <alignment horizontal="left" vertical="top" wrapText="1"/>
    </xf>
    <xf numFmtId="0" fontId="11" fillId="30" borderId="35" xfId="45" applyFont="1" applyFill="1" applyBorder="1" applyAlignment="1">
      <alignment horizontal="left" vertical="top" wrapText="1"/>
    </xf>
    <xf numFmtId="0" fontId="11" fillId="30" borderId="35" xfId="45" applyFont="1" applyFill="1" applyBorder="1" applyAlignment="1">
      <alignment horizontal="right" vertical="top" wrapText="1"/>
    </xf>
    <xf numFmtId="0" fontId="13" fillId="44" borderId="19" xfId="101" applyBorder="1" applyAlignment="1">
      <alignment vertical="center" wrapText="1" shrinkToFit="1"/>
      <protection locked="0"/>
    </xf>
    <xf numFmtId="0" fontId="12" fillId="18" borderId="12" xfId="45" applyFont="1" applyAlignment="1">
      <alignment horizontal="left" vertical="top" wrapText="1"/>
    </xf>
    <xf numFmtId="0" fontId="29" fillId="27" borderId="12" xfId="45" applyFont="1" applyFill="1">
      <alignment horizontal="left" vertical="top" wrapText="1"/>
    </xf>
    <xf numFmtId="0" fontId="29" fillId="27" borderId="33" xfId="45" applyFont="1" applyFill="1" applyBorder="1">
      <alignment horizontal="left" vertical="top" wrapText="1"/>
    </xf>
    <xf numFmtId="0" fontId="29" fillId="30" borderId="35" xfId="45" applyFont="1" applyFill="1" applyBorder="1">
      <alignment horizontal="left" vertical="top" wrapText="1"/>
    </xf>
    <xf numFmtId="0" fontId="29" fillId="30" borderId="35" xfId="45" applyFont="1" applyFill="1" applyBorder="1" applyAlignment="1">
      <alignment horizontal="left" vertical="top" wrapText="1"/>
    </xf>
    <xf numFmtId="0" fontId="26" fillId="30" borderId="35" xfId="45" applyFont="1" applyFill="1" applyBorder="1">
      <alignment horizontal="left" vertical="top" wrapText="1"/>
    </xf>
    <xf numFmtId="0" fontId="55" fillId="45" borderId="36" xfId="45" applyFont="1" applyFill="1" applyBorder="1" applyAlignment="1">
      <alignment horizontal="left" vertical="top"/>
    </xf>
    <xf numFmtId="0" fontId="55" fillId="45" borderId="36" xfId="45" applyFont="1" applyFill="1" applyBorder="1" applyAlignment="1">
      <alignment horizontal="left" vertical="top" indent="2"/>
    </xf>
    <xf numFmtId="0" fontId="0" fillId="0" borderId="0" xfId="0" applyAlignment="1">
      <alignment horizontal="center" vertical="center"/>
    </xf>
    <xf numFmtId="0" fontId="56" fillId="46" borderId="36" xfId="45" applyFont="1" applyFill="1" applyBorder="1" applyAlignment="1">
      <alignment horizontal="left" vertical="center" indent="2"/>
    </xf>
    <xf numFmtId="0" fontId="55" fillId="43" borderId="36" xfId="45" applyFont="1" applyFill="1" applyBorder="1" applyAlignment="1">
      <alignment horizontal="left" vertical="center" indent="2"/>
    </xf>
    <xf numFmtId="0" fontId="55" fillId="43" borderId="37" xfId="45" applyFont="1" applyFill="1" applyBorder="1" applyAlignment="1">
      <alignment horizontal="left" vertical="center" indent="2"/>
    </xf>
    <xf numFmtId="0" fontId="45" fillId="39" borderId="38" xfId="45" applyFont="1" applyFill="1" applyBorder="1" applyAlignment="1">
      <alignment horizontal="left" vertical="center" indent="2"/>
    </xf>
    <xf numFmtId="0" fontId="45" fillId="39" borderId="36" xfId="45" applyFont="1" applyFill="1" applyBorder="1" applyAlignment="1">
      <alignment horizontal="left" vertical="center" indent="2"/>
    </xf>
    <xf numFmtId="0" fontId="45" fillId="37" borderId="38" xfId="45" applyFont="1" applyFill="1" applyBorder="1" applyAlignment="1">
      <alignment horizontal="left" vertical="center" indent="2"/>
    </xf>
    <xf numFmtId="0" fontId="45" fillId="37" borderId="36" xfId="45" applyFont="1" applyFill="1" applyBorder="1" applyAlignment="1">
      <alignment horizontal="left" vertical="center" indent="2"/>
    </xf>
    <xf numFmtId="0" fontId="45" fillId="37" borderId="37" xfId="45" applyFont="1" applyFill="1" applyBorder="1" applyAlignment="1">
      <alignment horizontal="left" vertical="center" indent="2"/>
    </xf>
    <xf numFmtId="0" fontId="46" fillId="36" borderId="38" xfId="45" applyFont="1" applyFill="1" applyBorder="1" applyAlignment="1">
      <alignment horizontal="left" vertical="center" indent="2"/>
    </xf>
    <xf numFmtId="0" fontId="46" fillId="36" borderId="36" xfId="45" applyFont="1" applyFill="1" applyBorder="1" applyAlignment="1">
      <alignment horizontal="left" vertical="center" indent="2"/>
    </xf>
    <xf numFmtId="0" fontId="46" fillId="36" borderId="37" xfId="45" applyFont="1" applyFill="1" applyBorder="1" applyAlignment="1">
      <alignment horizontal="left" vertical="center" indent="2"/>
    </xf>
    <xf numFmtId="0" fontId="45" fillId="35" borderId="38" xfId="45" applyFont="1" applyFill="1" applyBorder="1" applyAlignment="1">
      <alignment horizontal="left" vertical="center" indent="2"/>
    </xf>
    <xf numFmtId="0" fontId="45" fillId="35" borderId="36" xfId="45" applyFont="1" applyFill="1" applyBorder="1" applyAlignment="1">
      <alignment horizontal="left" vertical="center" indent="2"/>
    </xf>
    <xf numFmtId="0" fontId="45" fillId="35" borderId="37" xfId="45" applyFont="1" applyFill="1" applyBorder="1" applyAlignment="1">
      <alignment horizontal="left" vertical="center" indent="2"/>
    </xf>
    <xf numFmtId="0" fontId="46" fillId="34" borderId="38" xfId="45" applyFont="1" applyFill="1" applyBorder="1" applyAlignment="1">
      <alignment horizontal="left" vertical="center" indent="2"/>
    </xf>
    <xf numFmtId="0" fontId="46" fillId="34" borderId="36" xfId="45" applyFont="1" applyFill="1" applyBorder="1" applyAlignment="1">
      <alignment horizontal="left" vertical="center" indent="2"/>
    </xf>
    <xf numFmtId="0" fontId="46" fillId="34" borderId="37" xfId="45" applyFont="1" applyFill="1" applyBorder="1" applyAlignment="1">
      <alignment horizontal="left" vertical="center" indent="2"/>
    </xf>
    <xf numFmtId="0" fontId="45" fillId="41" borderId="38" xfId="45" applyFont="1" applyFill="1" applyBorder="1" applyAlignment="1">
      <alignment horizontal="left" vertical="center" indent="2"/>
    </xf>
    <xf numFmtId="0" fontId="45" fillId="41" borderId="36" xfId="45" applyFont="1" applyFill="1" applyBorder="1" applyAlignment="1">
      <alignment horizontal="left" vertical="center" indent="2"/>
    </xf>
    <xf numFmtId="0" fontId="45" fillId="41" borderId="37" xfId="45" applyFont="1" applyFill="1" applyBorder="1" applyAlignment="1">
      <alignment horizontal="left" vertical="center" indent="2"/>
    </xf>
    <xf numFmtId="0" fontId="46" fillId="38" borderId="38" xfId="45" applyFont="1" applyFill="1" applyBorder="1" applyAlignment="1">
      <alignment horizontal="left" vertical="center" indent="2"/>
    </xf>
    <xf numFmtId="0" fontId="46" fillId="38" borderId="36" xfId="45" applyFont="1" applyFill="1" applyBorder="1" applyAlignment="1">
      <alignment horizontal="left" vertical="center" indent="2"/>
    </xf>
    <xf numFmtId="0" fontId="46" fillId="38" borderId="37" xfId="45" applyFont="1" applyFill="1" applyBorder="1" applyAlignment="1">
      <alignment horizontal="left" vertical="center" indent="2"/>
    </xf>
    <xf numFmtId="0" fontId="27" fillId="18" borderId="12" xfId="45" applyFont="1">
      <alignment horizontal="left" vertical="top" wrapText="1"/>
    </xf>
    <xf numFmtId="0" fontId="49" fillId="30" borderId="35" xfId="45" applyFont="1" applyFill="1" applyBorder="1">
      <alignment horizontal="left" vertical="top" wrapText="1"/>
    </xf>
    <xf numFmtId="0" fontId="49" fillId="30" borderId="35" xfId="45" applyFont="1" applyFill="1" applyBorder="1" applyAlignment="1">
      <alignment horizontal="center" vertical="center" wrapText="1"/>
    </xf>
    <xf numFmtId="0" fontId="49" fillId="30" borderId="35" xfId="45" applyFont="1" applyFill="1" applyBorder="1" applyAlignment="1">
      <alignment vertical="top" wrapText="1"/>
    </xf>
    <xf numFmtId="0" fontId="49" fillId="30" borderId="35" xfId="45" applyFont="1" applyFill="1" applyBorder="1" applyAlignment="1">
      <alignment horizontal="left" vertical="top"/>
    </xf>
    <xf numFmtId="0" fontId="49" fillId="30" borderId="35" xfId="45" applyFont="1" applyFill="1" applyBorder="1" applyAlignment="1">
      <alignment horizontal="left" vertical="top" wrapText="1"/>
    </xf>
    <xf numFmtId="0" fontId="49" fillId="30" borderId="35" xfId="45" applyNumberFormat="1" applyFont="1" applyFill="1" applyBorder="1" applyAlignment="1">
      <alignment vertical="top" shrinkToFit="1"/>
    </xf>
    <xf numFmtId="11" fontId="49" fillId="30" borderId="35" xfId="45" applyNumberFormat="1" applyFont="1" applyFill="1" applyBorder="1" applyAlignment="1">
      <alignment vertical="top" shrinkToFit="1"/>
    </xf>
    <xf numFmtId="0" fontId="57" fillId="30" borderId="35" xfId="45" applyFont="1" applyFill="1" applyBorder="1" applyAlignment="1">
      <alignment horizontal="left" vertical="top" wrapText="1"/>
    </xf>
    <xf numFmtId="0" fontId="49" fillId="27" borderId="12" xfId="45" applyFont="1" applyFill="1">
      <alignment horizontal="left" vertical="top" wrapText="1"/>
    </xf>
    <xf numFmtId="0" fontId="13" fillId="29" borderId="5" xfId="44" applyFill="1" applyAlignment="1">
      <alignment vertical="top" wrapText="1" shrinkToFit="1"/>
      <protection locked="0"/>
    </xf>
    <xf numFmtId="0" fontId="12" fillId="27" borderId="12" xfId="45" applyFont="1" applyFill="1">
      <alignment horizontal="left" vertical="top" wrapText="1"/>
    </xf>
    <xf numFmtId="0" fontId="58" fillId="27" borderId="12" xfId="45" applyFont="1" applyFill="1">
      <alignment horizontal="left" vertical="top" wrapText="1"/>
    </xf>
    <xf numFmtId="171" fontId="11" fillId="21" borderId="5" xfId="40" applyNumberFormat="1" applyFont="1" applyAlignment="1">
      <alignment vertical="center" shrinkToFit="1"/>
    </xf>
    <xf numFmtId="174" fontId="12" fillId="21" borderId="5" xfId="40" applyNumberFormat="1" applyFont="1" applyAlignment="1">
      <alignment vertical="center" shrinkToFit="1"/>
    </xf>
    <xf numFmtId="0" fontId="45" fillId="47" borderId="37" xfId="45" applyFont="1" applyFill="1" applyBorder="1" applyAlignment="1">
      <alignment horizontal="left" vertical="center" indent="2"/>
    </xf>
    <xf numFmtId="0" fontId="45" fillId="47" borderId="36" xfId="45" applyFont="1" applyFill="1" applyBorder="1" applyAlignment="1">
      <alignment horizontal="left" vertical="center" indent="2"/>
    </xf>
    <xf numFmtId="0" fontId="13" fillId="19" borderId="5" xfId="44" applyAlignment="1">
      <alignment vertical="top" wrapText="1" shrinkToFit="1"/>
      <protection locked="0"/>
    </xf>
    <xf numFmtId="0" fontId="26" fillId="19" borderId="5" xfId="44" applyFont="1" applyAlignment="1">
      <alignment vertical="top" wrapText="1" shrinkToFit="1"/>
      <protection locked="0"/>
    </xf>
    <xf numFmtId="0" fontId="13" fillId="48" borderId="5" xfId="44" applyFill="1" applyAlignment="1">
      <alignment vertical="top" wrapText="1" shrinkToFit="1"/>
      <protection locked="0"/>
    </xf>
    <xf numFmtId="0" fontId="13" fillId="38" borderId="5" xfId="44" applyFill="1" applyAlignment="1">
      <alignment vertical="top" wrapText="1" shrinkToFit="1"/>
      <protection locked="0"/>
    </xf>
    <xf numFmtId="0" fontId="13" fillId="36" borderId="5" xfId="44" applyFill="1" applyAlignment="1">
      <alignment vertical="top" wrapText="1" shrinkToFit="1"/>
      <protection locked="0"/>
    </xf>
    <xf numFmtId="1" fontId="59" fillId="22" borderId="5" xfId="76" quotePrefix="1" applyNumberFormat="1" applyFont="1" applyAlignment="1">
      <alignment vertical="top" wrapText="1"/>
    </xf>
    <xf numFmtId="0" fontId="49" fillId="0" borderId="0" xfId="0" applyFont="1">
      <alignment vertical="center"/>
    </xf>
    <xf numFmtId="14" fontId="49" fillId="0" borderId="0" xfId="0" applyNumberFormat="1" applyFont="1" applyAlignment="1">
      <alignment horizontal="center" vertical="center"/>
    </xf>
    <xf numFmtId="0" fontId="26" fillId="30" borderId="0" xfId="0" applyFont="1" applyFill="1">
      <alignment vertical="center"/>
    </xf>
    <xf numFmtId="0" fontId="60" fillId="49" borderId="0" xfId="0" applyFont="1" applyFill="1" applyBorder="1" applyAlignment="1" applyProtection="1">
      <alignment horizontal="left"/>
      <protection hidden="1"/>
    </xf>
    <xf numFmtId="0" fontId="61" fillId="49" borderId="0" xfId="0" applyFont="1" applyFill="1" applyBorder="1" applyAlignment="1" applyProtection="1">
      <alignment horizontal="centerContinuous" vertical="center"/>
      <protection hidden="1"/>
    </xf>
    <xf numFmtId="0" fontId="60" fillId="49" borderId="0" xfId="0" applyFont="1" applyFill="1" applyBorder="1" applyAlignment="1" applyProtection="1">
      <alignment horizontal="left" vertical="top"/>
      <protection hidden="1"/>
    </xf>
    <xf numFmtId="0" fontId="15" fillId="25" borderId="0" xfId="63" applyFont="1" applyAlignment="1">
      <alignment horizontal="left" vertical="center" indent="1"/>
    </xf>
    <xf numFmtId="0" fontId="15" fillId="25" borderId="0" xfId="63" applyFont="1" applyAlignment="1">
      <alignment horizontal="left" vertical="center"/>
    </xf>
    <xf numFmtId="0" fontId="15" fillId="25" borderId="0" xfId="63" applyFont="1" applyAlignment="1">
      <alignment horizontal="center" vertical="center"/>
    </xf>
    <xf numFmtId="0" fontId="15" fillId="25" borderId="0" xfId="63" applyFont="1" applyAlignment="1">
      <alignment horizontal="centerContinuous" vertical="center"/>
    </xf>
    <xf numFmtId="0" fontId="0" fillId="30" borderId="0" xfId="0" applyFont="1" applyFill="1">
      <alignment vertical="center"/>
    </xf>
    <xf numFmtId="0" fontId="0" fillId="0" borderId="0" xfId="0" applyFont="1">
      <alignment vertical="center"/>
    </xf>
    <xf numFmtId="0" fontId="63" fillId="30" borderId="0" xfId="0" applyFont="1" applyFill="1">
      <alignment vertical="center"/>
    </xf>
    <xf numFmtId="0" fontId="64" fillId="30" borderId="0" xfId="0" applyFont="1" applyFill="1">
      <alignment vertical="center"/>
    </xf>
    <xf numFmtId="0" fontId="65" fillId="30" borderId="0" xfId="0" applyFont="1" applyFill="1">
      <alignment vertical="center"/>
    </xf>
    <xf numFmtId="0" fontId="66" fillId="30" borderId="0" xfId="0" applyFont="1" applyFill="1">
      <alignment vertical="center"/>
    </xf>
    <xf numFmtId="0" fontId="67" fillId="30" borderId="0" xfId="102" applyFont="1" applyFill="1">
      <alignment vertical="center"/>
    </xf>
    <xf numFmtId="0" fontId="12" fillId="30" borderId="0" xfId="0" applyFont="1" applyFill="1">
      <alignment vertical="center"/>
    </xf>
    <xf numFmtId="0" fontId="0" fillId="30" borderId="0" xfId="0" applyFont="1" applyFill="1" applyAlignment="1">
      <alignment vertical="top" wrapText="1"/>
    </xf>
    <xf numFmtId="0" fontId="66" fillId="30" borderId="0" xfId="0" applyFont="1" applyFill="1" applyAlignment="1">
      <alignment vertical="center"/>
    </xf>
    <xf numFmtId="0" fontId="15" fillId="25" borderId="0" xfId="63" applyFont="1" applyAlignment="1">
      <alignment horizontal="right" vertical="center" indent="2"/>
    </xf>
    <xf numFmtId="0" fontId="69" fillId="30" borderId="0" xfId="102" applyFont="1" applyFill="1">
      <alignment vertical="center"/>
    </xf>
    <xf numFmtId="0" fontId="55" fillId="46" borderId="34" xfId="45" applyFont="1" applyFill="1" applyBorder="1" applyAlignment="1">
      <alignment horizontal="left" vertical="center" indent="2"/>
    </xf>
    <xf numFmtId="0" fontId="63" fillId="30" borderId="0" xfId="0" applyFont="1" applyFill="1" applyAlignment="1">
      <alignment horizontal="left" vertical="center" indent="1"/>
    </xf>
    <xf numFmtId="0" fontId="15" fillId="25" borderId="0" xfId="63" applyFont="1" applyAlignment="1">
      <alignment horizontal="right" vertical="center"/>
    </xf>
    <xf numFmtId="0" fontId="11" fillId="0" borderId="0" xfId="103" applyFont="1" applyAlignment="1">
      <alignment vertical="center"/>
    </xf>
    <xf numFmtId="0" fontId="11" fillId="0" borderId="0" xfId="104" applyFont="1">
      <alignment vertical="center"/>
    </xf>
    <xf numFmtId="0" fontId="11" fillId="50" borderId="0" xfId="104" applyFont="1" applyFill="1">
      <alignment vertical="center"/>
    </xf>
    <xf numFmtId="0" fontId="70" fillId="18" borderId="0" xfId="104" applyFont="1" applyFill="1">
      <alignment vertical="center"/>
    </xf>
    <xf numFmtId="0" fontId="70" fillId="18" borderId="0" xfId="104" applyFont="1" applyFill="1" applyAlignment="1">
      <alignment vertical="center"/>
    </xf>
    <xf numFmtId="0" fontId="11" fillId="0" borderId="0" xfId="103" applyFont="1" applyFill="1" applyAlignment="1">
      <alignment vertical="center"/>
    </xf>
    <xf numFmtId="0" fontId="15" fillId="23" borderId="0" xfId="42">
      <alignment horizontal="left" vertical="center" indent="1"/>
    </xf>
    <xf numFmtId="0" fontId="12" fillId="0" borderId="0" xfId="103" applyFont="1" applyAlignment="1">
      <alignment vertical="center"/>
    </xf>
    <xf numFmtId="0" fontId="11" fillId="50" borderId="0" xfId="103" applyFont="1" applyFill="1" applyAlignment="1">
      <alignment vertical="center"/>
    </xf>
    <xf numFmtId="0" fontId="71" fillId="50" borderId="0" xfId="103" applyFont="1" applyFill="1" applyAlignment="1">
      <alignment horizontal="left" vertical="center" indent="1"/>
    </xf>
    <xf numFmtId="0" fontId="12" fillId="18" borderId="0" xfId="103" applyFont="1" applyFill="1" applyAlignment="1">
      <alignment vertical="center"/>
    </xf>
    <xf numFmtId="0" fontId="11" fillId="18" borderId="0" xfId="103" applyFont="1" applyFill="1" applyAlignment="1">
      <alignment vertical="center"/>
    </xf>
    <xf numFmtId="0" fontId="11" fillId="18" borderId="0" xfId="103" applyFont="1" applyFill="1" applyBorder="1" applyAlignment="1">
      <alignment horizontal="left" vertical="center"/>
    </xf>
    <xf numFmtId="0" fontId="11" fillId="0" borderId="0" xfId="104" applyFont="1" applyFill="1">
      <alignment vertical="center"/>
    </xf>
    <xf numFmtId="0" fontId="12" fillId="18" borderId="0" xfId="48" applyFont="1" applyFill="1" applyAlignment="1">
      <alignment horizontal="left" vertical="center" indent="1"/>
    </xf>
    <xf numFmtId="0" fontId="11" fillId="0" borderId="0" xfId="104" applyFont="1" applyAlignment="1">
      <alignment horizontal="centerContinuous" vertical="center" wrapText="1"/>
    </xf>
    <xf numFmtId="0" fontId="11" fillId="18" borderId="0" xfId="105" applyFont="1" applyFill="1" applyAlignment="1"/>
    <xf numFmtId="0" fontId="11" fillId="18" borderId="0" xfId="105" applyFont="1" applyFill="1" applyAlignment="1">
      <alignment vertical="center"/>
    </xf>
    <xf numFmtId="0" fontId="11" fillId="18" borderId="0" xfId="104" applyFont="1" applyFill="1">
      <alignment vertical="center"/>
    </xf>
    <xf numFmtId="0" fontId="11" fillId="18" borderId="0" xfId="48" applyFill="1">
      <alignment vertical="top"/>
    </xf>
    <xf numFmtId="0" fontId="72" fillId="23" borderId="0" xfId="103" applyFont="1" applyFill="1" applyAlignment="1">
      <alignment horizontal="left" vertical="center"/>
    </xf>
    <xf numFmtId="0" fontId="73" fillId="23" borderId="0" xfId="104" applyFont="1" applyFill="1">
      <alignment vertical="center"/>
    </xf>
    <xf numFmtId="0" fontId="72" fillId="23" borderId="0" xfId="104" applyFont="1" applyFill="1" applyAlignment="1">
      <alignment horizontal="right" vertical="center" indent="1"/>
    </xf>
    <xf numFmtId="0" fontId="11" fillId="18" borderId="0" xfId="104" applyFont="1" applyFill="1" applyAlignment="1">
      <alignment vertical="center"/>
    </xf>
    <xf numFmtId="0" fontId="11" fillId="0" borderId="47" xfId="38" applyFont="1" applyFill="1" applyBorder="1" applyAlignment="1">
      <alignment horizontal="centerContinuous" vertical="center"/>
    </xf>
    <xf numFmtId="1" fontId="29" fillId="18" borderId="0" xfId="104" applyNumberFormat="1" applyFont="1" applyFill="1" applyAlignment="1">
      <alignment horizontal="left" vertical="center"/>
    </xf>
    <xf numFmtId="166" fontId="29" fillId="18" borderId="49" xfId="104" applyNumberFormat="1" applyFont="1" applyFill="1" applyBorder="1" applyAlignment="1">
      <alignment horizontal="centerContinuous" vertical="center"/>
    </xf>
    <xf numFmtId="166" fontId="70" fillId="18" borderId="50" xfId="104" applyNumberFormat="1" applyFont="1" applyFill="1" applyBorder="1" applyAlignment="1">
      <alignment horizontal="centerContinuous" vertical="center"/>
    </xf>
    <xf numFmtId="166" fontId="70" fillId="18" borderId="0" xfId="104" applyNumberFormat="1" applyFont="1" applyFill="1">
      <alignment vertical="center"/>
    </xf>
    <xf numFmtId="0" fontId="70" fillId="18" borderId="0" xfId="104" applyFont="1" applyFill="1" applyAlignment="1">
      <alignment horizontal="centerContinuous" vertical="center"/>
    </xf>
    <xf numFmtId="0" fontId="70" fillId="18" borderId="0" xfId="104" applyFont="1" applyFill="1" applyAlignment="1">
      <alignment horizontal="left" vertical="center"/>
    </xf>
    <xf numFmtId="0" fontId="63" fillId="30" borderId="0" xfId="0" applyFont="1" applyFill="1" applyAlignment="1">
      <alignment vertical="top" wrapText="1"/>
    </xf>
    <xf numFmtId="0" fontId="0" fillId="30" borderId="0" xfId="0" applyFont="1" applyFill="1" applyAlignment="1">
      <alignment vertical="top" wrapText="1"/>
    </xf>
    <xf numFmtId="0" fontId="67" fillId="30" borderId="0" xfId="102" applyFont="1" applyFill="1">
      <alignment vertical="center"/>
    </xf>
    <xf numFmtId="0" fontId="62" fillId="30" borderId="0" xfId="102" applyFont="1" applyFill="1" applyAlignment="1">
      <alignment vertical="top" wrapText="1"/>
    </xf>
    <xf numFmtId="14" fontId="31" fillId="30" borderId="0" xfId="0" applyNumberFormat="1" applyFont="1" applyFill="1" applyAlignment="1" applyProtection="1">
      <protection hidden="1"/>
    </xf>
    <xf numFmtId="22" fontId="30" fillId="0" borderId="0" xfId="0" applyNumberFormat="1" applyFont="1" applyFill="1" applyBorder="1" applyAlignment="1">
      <alignment horizontal="center" vertical="center" shrinkToFit="1"/>
    </xf>
    <xf numFmtId="175" fontId="13" fillId="19" borderId="16" xfId="44" applyNumberFormat="1" applyBorder="1" applyAlignment="1">
      <alignment horizontal="center" vertical="center" wrapText="1" shrinkToFit="1"/>
      <protection locked="0"/>
    </xf>
    <xf numFmtId="175" fontId="13" fillId="19" borderId="23" xfId="44" applyNumberFormat="1" applyBorder="1" applyAlignment="1">
      <alignment horizontal="center" vertical="center" wrapText="1" shrinkToFit="1"/>
      <protection locked="0"/>
    </xf>
    <xf numFmtId="14" fontId="13" fillId="19" borderId="16" xfId="44" applyNumberFormat="1" applyBorder="1" applyAlignment="1">
      <alignment horizontal="center" vertical="center" wrapText="1" shrinkToFit="1"/>
      <protection locked="0"/>
    </xf>
    <xf numFmtId="0" fontId="13" fillId="19" borderId="23" xfId="44" applyBorder="1" applyAlignment="1">
      <alignment horizontal="center" vertical="center" wrapText="1" shrinkToFit="1"/>
      <protection locked="0"/>
    </xf>
    <xf numFmtId="0" fontId="68" fillId="49" borderId="0" xfId="0" applyFont="1" applyFill="1" applyBorder="1" applyAlignment="1" applyProtection="1">
      <alignment horizontal="left" vertical="center" wrapText="1"/>
      <protection hidden="1"/>
    </xf>
    <xf numFmtId="172" fontId="63" fillId="30" borderId="0" xfId="0" applyNumberFormat="1" applyFont="1" applyFill="1" applyAlignment="1">
      <alignment horizontal="left" vertical="center"/>
    </xf>
    <xf numFmtId="0" fontId="48" fillId="21" borderId="28" xfId="40" applyFont="1" applyBorder="1" applyAlignment="1">
      <alignment vertical="center" wrapText="1" shrinkToFit="1"/>
    </xf>
    <xf numFmtId="0" fontId="48" fillId="21" borderId="29" xfId="40" applyFont="1" applyBorder="1" applyAlignment="1">
      <alignment vertical="center" wrapText="1" shrinkToFit="1"/>
    </xf>
    <xf numFmtId="2" fontId="11" fillId="27" borderId="16" xfId="105" applyNumberFormat="1" applyFont="1" applyFill="1" applyBorder="1" applyAlignment="1" applyProtection="1">
      <alignment horizontal="center" vertical="center" wrapText="1"/>
      <protection locked="0"/>
    </xf>
    <xf numFmtId="2" fontId="11" fillId="27" borderId="29" xfId="105" applyNumberFormat="1" applyFont="1" applyFill="1" applyBorder="1" applyAlignment="1" applyProtection="1">
      <alignment horizontal="center" vertical="center" wrapText="1"/>
      <protection locked="0"/>
    </xf>
    <xf numFmtId="2" fontId="11" fillId="27" borderId="23" xfId="105" applyNumberFormat="1" applyFont="1" applyFill="1" applyBorder="1" applyAlignment="1" applyProtection="1">
      <alignment horizontal="center" vertical="center" wrapText="1"/>
      <protection locked="0"/>
    </xf>
    <xf numFmtId="2" fontId="11" fillId="51" borderId="16" xfId="105" applyNumberFormat="1" applyFont="1" applyFill="1" applyBorder="1" applyAlignment="1" applyProtection="1">
      <alignment horizontal="center" vertical="center" wrapText="1"/>
      <protection locked="0"/>
    </xf>
    <xf numFmtId="2" fontId="11" fillId="51" borderId="29" xfId="105" applyNumberFormat="1" applyFont="1" applyFill="1" applyBorder="1" applyAlignment="1" applyProtection="1">
      <alignment horizontal="center" vertical="center" wrapText="1"/>
      <protection locked="0"/>
    </xf>
    <xf numFmtId="2" fontId="11" fillId="51" borderId="23" xfId="105" applyNumberFormat="1" applyFont="1" applyFill="1" applyBorder="1" applyAlignment="1" applyProtection="1">
      <alignment horizontal="center" vertical="center" wrapText="1"/>
      <protection locked="0"/>
    </xf>
    <xf numFmtId="0" fontId="12" fillId="18" borderId="0" xfId="48" applyFont="1" applyFill="1" applyAlignment="1">
      <alignment horizontal="left" vertical="center"/>
    </xf>
    <xf numFmtId="0" fontId="11" fillId="18" borderId="0" xfId="103" applyFont="1" applyFill="1" applyAlignment="1">
      <alignment vertical="center" shrinkToFit="1"/>
    </xf>
    <xf numFmtId="2" fontId="11" fillId="53" borderId="16" xfId="105" applyNumberFormat="1" applyFont="1" applyFill="1" applyBorder="1" applyAlignment="1" applyProtection="1">
      <alignment horizontal="center" vertical="center" wrapText="1"/>
      <protection locked="0"/>
    </xf>
    <xf numFmtId="2" fontId="11" fillId="53" borderId="29" xfId="105" applyNumberFormat="1" applyFont="1" applyFill="1" applyBorder="1" applyAlignment="1" applyProtection="1">
      <alignment horizontal="center" vertical="center" wrapText="1"/>
      <protection locked="0"/>
    </xf>
    <xf numFmtId="2" fontId="11" fillId="53" borderId="23" xfId="105" applyNumberFormat="1" applyFont="1" applyFill="1" applyBorder="1" applyAlignment="1" applyProtection="1">
      <alignment horizontal="center" vertical="center" wrapText="1"/>
      <protection locked="0"/>
    </xf>
    <xf numFmtId="0" fontId="29" fillId="18" borderId="0" xfId="103" applyFont="1" applyFill="1" applyAlignment="1">
      <alignment vertical="center" shrinkToFit="1"/>
    </xf>
    <xf numFmtId="0" fontId="29" fillId="18" borderId="0" xfId="103" applyFont="1" applyFill="1" applyAlignment="1">
      <alignment vertical="center"/>
    </xf>
    <xf numFmtId="0" fontId="76" fillId="18" borderId="0" xfId="48" applyFont="1" applyFill="1" applyAlignment="1">
      <alignment horizontal="left" vertical="center"/>
    </xf>
    <xf numFmtId="2" fontId="58" fillId="53" borderId="16" xfId="105" applyNumberFormat="1" applyFont="1" applyFill="1" applyBorder="1" applyAlignment="1" applyProtection="1">
      <alignment horizontal="center" vertical="center" wrapText="1"/>
      <protection locked="0"/>
    </xf>
    <xf numFmtId="2" fontId="58" fillId="53" borderId="29" xfId="105" applyNumberFormat="1" applyFont="1" applyFill="1" applyBorder="1" applyAlignment="1" applyProtection="1">
      <alignment horizontal="center" vertical="center" wrapText="1"/>
      <protection locked="0"/>
    </xf>
    <xf numFmtId="2" fontId="58" fillId="53" borderId="23" xfId="105" applyNumberFormat="1" applyFont="1" applyFill="1" applyBorder="1" applyAlignment="1" applyProtection="1">
      <alignment horizontal="center" vertical="center" wrapText="1"/>
      <protection locked="0"/>
    </xf>
    <xf numFmtId="1" fontId="29" fillId="18" borderId="49" xfId="104" applyNumberFormat="1" applyFont="1" applyFill="1" applyBorder="1" applyAlignment="1">
      <alignment horizontal="center" vertical="center" shrinkToFit="1"/>
    </xf>
    <xf numFmtId="1" fontId="53" fillId="18" borderId="49" xfId="104" applyNumberFormat="1" applyFont="1" applyFill="1" applyBorder="1" applyAlignment="1">
      <alignment horizontal="center" vertical="center" shrinkToFit="1"/>
    </xf>
    <xf numFmtId="0" fontId="59" fillId="18" borderId="0" xfId="48" applyFont="1" applyFill="1">
      <alignment vertical="top"/>
    </xf>
    <xf numFmtId="177" fontId="0" fillId="0" borderId="46" xfId="38" applyNumberFormat="1" applyFont="1" applyFill="1" applyBorder="1" applyAlignment="1">
      <alignment horizontal="centerContinuous" vertical="center" shrinkToFit="1"/>
    </xf>
    <xf numFmtId="0" fontId="12" fillId="20" borderId="16" xfId="32" applyFont="1" applyBorder="1" applyAlignment="1">
      <alignment horizontal="left" vertical="center"/>
      <protection locked="0"/>
    </xf>
    <xf numFmtId="0" fontId="12" fillId="20" borderId="29" xfId="32" applyFont="1" applyBorder="1" applyAlignment="1">
      <alignment horizontal="left" vertical="center"/>
      <protection locked="0"/>
    </xf>
    <xf numFmtId="0" fontId="12" fillId="20" borderId="23" xfId="32" applyFont="1" applyBorder="1" applyAlignment="1">
      <alignment horizontal="left" vertical="center"/>
      <protection locked="0"/>
    </xf>
    <xf numFmtId="2" fontId="59" fillId="53" borderId="16" xfId="105" applyNumberFormat="1" applyFont="1" applyFill="1" applyBorder="1" applyAlignment="1" applyProtection="1">
      <alignment horizontal="center" vertical="top" wrapText="1"/>
      <protection locked="0"/>
    </xf>
    <xf numFmtId="2" fontId="59" fillId="53" borderId="29" xfId="105" applyNumberFormat="1" applyFont="1" applyFill="1" applyBorder="1" applyAlignment="1" applyProtection="1">
      <alignment horizontal="center" vertical="top" wrapText="1"/>
      <protection locked="0"/>
    </xf>
    <xf numFmtId="2" fontId="59" fillId="53" borderId="23" xfId="105" applyNumberFormat="1" applyFont="1" applyFill="1" applyBorder="1" applyAlignment="1" applyProtection="1">
      <alignment horizontal="center" vertical="top" wrapText="1"/>
      <protection locked="0"/>
    </xf>
    <xf numFmtId="178" fontId="81" fillId="21" borderId="46" xfId="38" applyNumberFormat="1" applyFont="1" applyBorder="1" applyAlignment="1">
      <alignment horizontal="centerContinuous" vertical="center" shrinkToFit="1"/>
    </xf>
    <xf numFmtId="178" fontId="81" fillId="21" borderId="48" xfId="38" applyNumberFormat="1" applyFont="1" applyBorder="1" applyAlignment="1">
      <alignment horizontal="centerContinuous" vertical="center" shrinkToFit="1"/>
    </xf>
    <xf numFmtId="179" fontId="81" fillId="21" borderId="46" xfId="38" quotePrefix="1" applyNumberFormat="1" applyFont="1" applyBorder="1" applyAlignment="1">
      <alignment horizontal="centerContinuous" vertical="center" shrinkToFit="1"/>
    </xf>
    <xf numFmtId="180" fontId="81" fillId="21" borderId="46" xfId="38" quotePrefix="1" applyNumberFormat="1" applyFont="1" applyBorder="1" applyAlignment="1">
      <alignment horizontal="centerContinuous" vertical="center" shrinkToFit="1"/>
    </xf>
    <xf numFmtId="180" fontId="81" fillId="21" borderId="48" xfId="38" applyNumberFormat="1" applyFont="1" applyBorder="1" applyAlignment="1">
      <alignment horizontal="centerContinuous" vertical="center" shrinkToFit="1"/>
    </xf>
    <xf numFmtId="181" fontId="81" fillId="21" borderId="46" xfId="38" quotePrefix="1" applyNumberFormat="1" applyFont="1" applyBorder="1" applyAlignment="1">
      <alignment horizontal="centerContinuous" vertical="center" shrinkToFit="1"/>
    </xf>
    <xf numFmtId="177" fontId="81" fillId="21" borderId="48" xfId="38" applyNumberFormat="1" applyFont="1" applyBorder="1" applyAlignment="1">
      <alignment horizontal="centerContinuous" vertical="center" shrinkToFit="1"/>
    </xf>
    <xf numFmtId="166" fontId="81" fillId="21" borderId="46" xfId="38" applyNumberFormat="1" applyFont="1" applyBorder="1" applyAlignment="1">
      <alignment horizontal="centerContinuous" vertical="center" shrinkToFit="1"/>
    </xf>
    <xf numFmtId="179" fontId="81" fillId="21" borderId="47" xfId="38" quotePrefix="1" applyNumberFormat="1" applyFont="1" applyBorder="1" applyAlignment="1">
      <alignment horizontal="centerContinuous" vertical="center" shrinkToFit="1"/>
    </xf>
    <xf numFmtId="174" fontId="81" fillId="21" borderId="48" xfId="38" applyNumberFormat="1" applyFont="1" applyBorder="1" applyAlignment="1">
      <alignment horizontal="centerContinuous" vertical="center"/>
    </xf>
    <xf numFmtId="182" fontId="81" fillId="21" borderId="46" xfId="38" quotePrefix="1" applyNumberFormat="1" applyFont="1" applyBorder="1" applyAlignment="1">
      <alignment horizontal="centerContinuous" vertical="center" shrinkToFit="1"/>
    </xf>
    <xf numFmtId="182" fontId="81" fillId="21" borderId="47" xfId="38" quotePrefix="1" applyNumberFormat="1" applyFont="1" applyBorder="1" applyAlignment="1">
      <alignment horizontal="centerContinuous" vertical="center" shrinkToFit="1"/>
    </xf>
    <xf numFmtId="182" fontId="81" fillId="21" borderId="48" xfId="38" applyNumberFormat="1" applyFont="1" applyBorder="1" applyAlignment="1">
      <alignment horizontal="centerContinuous" vertical="center"/>
    </xf>
    <xf numFmtId="183" fontId="81" fillId="21" borderId="46" xfId="38" quotePrefix="1" applyNumberFormat="1" applyFont="1" applyBorder="1" applyAlignment="1">
      <alignment horizontal="centerContinuous" vertical="center" shrinkToFit="1"/>
    </xf>
    <xf numFmtId="174" fontId="81" fillId="21" borderId="47" xfId="38" applyNumberFormat="1" applyFont="1" applyBorder="1" applyAlignment="1">
      <alignment horizontal="centerContinuous" vertical="center"/>
    </xf>
    <xf numFmtId="184" fontId="81" fillId="21" borderId="48" xfId="38" applyNumberFormat="1" applyFont="1" applyBorder="1" applyAlignment="1">
      <alignment horizontal="centerContinuous" vertical="center" shrinkToFit="1"/>
    </xf>
    <xf numFmtId="184" fontId="81" fillId="21" borderId="46" xfId="38" applyNumberFormat="1" applyFont="1" applyBorder="1" applyAlignment="1">
      <alignment horizontal="centerContinuous" vertical="center" shrinkToFit="1"/>
    </xf>
    <xf numFmtId="185" fontId="81" fillId="21" borderId="46" xfId="38" quotePrefix="1" applyNumberFormat="1" applyFont="1" applyBorder="1" applyAlignment="1">
      <alignment horizontal="centerContinuous" vertical="center" shrinkToFit="1"/>
    </xf>
    <xf numFmtId="182" fontId="81" fillId="21" borderId="48" xfId="38" applyNumberFormat="1" applyFont="1" applyBorder="1" applyAlignment="1">
      <alignment horizontal="centerContinuous" vertical="center" shrinkToFit="1"/>
    </xf>
    <xf numFmtId="178" fontId="82" fillId="21" borderId="46" xfId="38" applyNumberFormat="1" applyFont="1" applyBorder="1" applyAlignment="1">
      <alignment horizontal="centerContinuous" vertical="center" shrinkToFit="1"/>
    </xf>
    <xf numFmtId="178" fontId="83" fillId="21" borderId="48" xfId="38" applyNumberFormat="1" applyFont="1" applyBorder="1" applyAlignment="1">
      <alignment horizontal="centerContinuous" vertical="center" shrinkToFit="1"/>
    </xf>
    <xf numFmtId="179" fontId="82" fillId="21" borderId="46" xfId="38" quotePrefix="1" applyNumberFormat="1" applyFont="1" applyBorder="1" applyAlignment="1">
      <alignment horizontal="centerContinuous" vertical="center" shrinkToFit="1"/>
    </xf>
    <xf numFmtId="179" fontId="80" fillId="21" borderId="47" xfId="38" quotePrefix="1" applyNumberFormat="1" applyFont="1" applyBorder="1" applyAlignment="1">
      <alignment horizontal="centerContinuous" vertical="center" shrinkToFit="1"/>
    </xf>
    <xf numFmtId="174" fontId="80" fillId="21" borderId="48" xfId="38" applyNumberFormat="1" applyFont="1" applyBorder="1" applyAlignment="1">
      <alignment horizontal="centerContinuous" vertical="center"/>
    </xf>
    <xf numFmtId="0" fontId="82" fillId="28" borderId="42" xfId="48" applyFont="1" applyFill="1" applyBorder="1" applyAlignment="1">
      <alignment horizontal="left" vertical="center" wrapText="1" indent="1"/>
    </xf>
    <xf numFmtId="0" fontId="82" fillId="28" borderId="41" xfId="48" applyFont="1" applyFill="1" applyBorder="1" applyAlignment="1">
      <alignment horizontal="left" vertical="center" wrapText="1" indent="1"/>
    </xf>
    <xf numFmtId="0" fontId="82" fillId="28" borderId="43" xfId="48" applyFont="1" applyFill="1" applyBorder="1" applyAlignment="1">
      <alignment horizontal="left" vertical="center" wrapText="1" indent="1"/>
    </xf>
    <xf numFmtId="0" fontId="70" fillId="30" borderId="0" xfId="104" applyFont="1" applyFill="1">
      <alignment vertical="center"/>
    </xf>
    <xf numFmtId="0" fontId="74" fillId="30" borderId="0" xfId="104" applyFont="1" applyFill="1">
      <alignment vertical="center"/>
    </xf>
    <xf numFmtId="0" fontId="0" fillId="30" borderId="0" xfId="104" applyFont="1" applyFill="1" applyAlignment="1">
      <alignment horizontal="left" vertical="center" indent="1"/>
    </xf>
    <xf numFmtId="0" fontId="11" fillId="30" borderId="0" xfId="48" applyFont="1" applyFill="1">
      <alignment vertical="top"/>
    </xf>
    <xf numFmtId="0" fontId="11" fillId="30" borderId="0" xfId="48" applyFont="1" applyFill="1" applyAlignment="1"/>
    <xf numFmtId="0" fontId="11" fillId="30" borderId="0" xfId="48" applyFill="1">
      <alignment vertical="top"/>
    </xf>
    <xf numFmtId="0" fontId="46" fillId="30" borderId="0" xfId="48" applyFont="1" applyFill="1">
      <alignment vertical="top"/>
    </xf>
    <xf numFmtId="0" fontId="11" fillId="30" borderId="39" xfId="48" applyFont="1" applyFill="1" applyBorder="1">
      <alignment vertical="top"/>
    </xf>
    <xf numFmtId="0" fontId="11" fillId="30" borderId="40" xfId="48" applyFont="1" applyFill="1" applyBorder="1">
      <alignment vertical="top"/>
    </xf>
    <xf numFmtId="0" fontId="11" fillId="30" borderId="0" xfId="0" applyFont="1" applyFill="1">
      <alignment vertical="center"/>
    </xf>
    <xf numFmtId="0" fontId="11" fillId="30" borderId="0" xfId="48" applyFont="1" applyFill="1" applyBorder="1" applyAlignment="1">
      <alignment horizontal="left" vertical="top" indent="1"/>
    </xf>
    <xf numFmtId="0" fontId="12" fillId="30" borderId="0" xfId="48" applyFont="1" applyFill="1" applyBorder="1">
      <alignment vertical="top"/>
    </xf>
    <xf numFmtId="0" fontId="11" fillId="30" borderId="0" xfId="48" applyFont="1" applyFill="1" applyBorder="1">
      <alignment vertical="top"/>
    </xf>
    <xf numFmtId="0" fontId="31" fillId="30" borderId="0" xfId="48" applyFont="1" applyFill="1" applyBorder="1" applyAlignment="1">
      <alignment horizontal="centerContinuous"/>
    </xf>
    <xf numFmtId="0" fontId="11" fillId="30" borderId="0" xfId="48" applyFont="1" applyFill="1" applyBorder="1" applyAlignment="1">
      <alignment horizontal="centerContinuous" vertical="top"/>
    </xf>
    <xf numFmtId="0" fontId="11" fillId="30" borderId="0" xfId="0" applyFont="1" applyFill="1" applyBorder="1">
      <alignment vertical="center"/>
    </xf>
    <xf numFmtId="0" fontId="75" fillId="30" borderId="0" xfId="48" applyFont="1" applyFill="1" applyBorder="1" applyAlignment="1">
      <alignment horizontal="right"/>
    </xf>
    <xf numFmtId="0" fontId="11" fillId="30" borderId="0" xfId="48" applyFont="1" applyFill="1" applyBorder="1" applyAlignment="1">
      <alignment horizontal="right"/>
    </xf>
    <xf numFmtId="0" fontId="12" fillId="30" borderId="46" xfId="48" applyFont="1" applyFill="1" applyBorder="1" applyAlignment="1">
      <alignment horizontal="centerContinuous"/>
    </xf>
    <xf numFmtId="0" fontId="11" fillId="30" borderId="46" xfId="48" applyFont="1" applyFill="1" applyBorder="1" applyAlignment="1"/>
    <xf numFmtId="0" fontId="11" fillId="30" borderId="47" xfId="0" applyFont="1" applyFill="1" applyBorder="1" applyAlignment="1"/>
    <xf numFmtId="0" fontId="11" fillId="30" borderId="47" xfId="48" applyFont="1" applyFill="1" applyBorder="1" applyAlignment="1"/>
    <xf numFmtId="0" fontId="11" fillId="30" borderId="47" xfId="48" applyFont="1" applyFill="1" applyBorder="1" applyAlignment="1">
      <alignment horizontal="centerContinuous"/>
    </xf>
    <xf numFmtId="0" fontId="11" fillId="30" borderId="46" xfId="48" applyFont="1" applyFill="1" applyBorder="1" applyAlignment="1">
      <alignment horizontal="centerContinuous"/>
    </xf>
    <xf numFmtId="177" fontId="11" fillId="30" borderId="46" xfId="38" applyNumberFormat="1" applyFont="1" applyFill="1" applyBorder="1" applyAlignment="1">
      <alignment horizontal="centerContinuous" vertical="center" shrinkToFit="1"/>
    </xf>
    <xf numFmtId="0" fontId="11" fillId="30" borderId="47" xfId="38" applyFont="1" applyFill="1" applyBorder="1" applyAlignment="1">
      <alignment horizontal="centerContinuous" vertical="center"/>
    </xf>
    <xf numFmtId="0" fontId="81" fillId="30" borderId="46" xfId="48" applyFont="1" applyFill="1" applyBorder="1">
      <alignment vertical="top"/>
    </xf>
    <xf numFmtId="0" fontId="81" fillId="30" borderId="47" xfId="0" applyFont="1" applyFill="1" applyBorder="1">
      <alignment vertical="center"/>
    </xf>
    <xf numFmtId="0" fontId="81" fillId="30" borderId="47" xfId="48" applyFont="1" applyFill="1" applyBorder="1">
      <alignment vertical="top"/>
    </xf>
    <xf numFmtId="0" fontId="82" fillId="28" borderId="0" xfId="48" applyFont="1" applyFill="1" applyBorder="1" applyAlignment="1">
      <alignment horizontal="left" vertical="center" wrapText="1" indent="1"/>
    </xf>
    <xf numFmtId="0" fontId="82" fillId="28" borderId="40" xfId="48" applyFont="1" applyFill="1" applyBorder="1" applyAlignment="1">
      <alignment horizontal="left" vertical="center" wrapText="1" indent="1"/>
    </xf>
    <xf numFmtId="0" fontId="12" fillId="30" borderId="0" xfId="48" applyFont="1" applyFill="1" applyBorder="1" applyAlignment="1">
      <alignment horizontal="left" vertical="top" indent="1"/>
    </xf>
    <xf numFmtId="177" fontId="75" fillId="30" borderId="46" xfId="38" applyNumberFormat="1" applyFont="1" applyFill="1" applyBorder="1" applyAlignment="1">
      <alignment horizontal="centerContinuous" vertical="center" shrinkToFit="1"/>
    </xf>
    <xf numFmtId="0" fontId="75" fillId="30" borderId="47" xfId="38" applyFont="1" applyFill="1" applyBorder="1" applyAlignment="1">
      <alignment horizontal="centerContinuous" vertical="center"/>
    </xf>
    <xf numFmtId="0" fontId="84" fillId="30" borderId="0" xfId="48" applyFont="1" applyFill="1" applyBorder="1" applyAlignment="1">
      <alignment vertical="center"/>
    </xf>
    <xf numFmtId="0" fontId="28" fillId="30" borderId="0" xfId="48" applyFont="1" applyFill="1" applyBorder="1">
      <alignment vertical="top"/>
    </xf>
    <xf numFmtId="0" fontId="28" fillId="30" borderId="0" xfId="48" applyFont="1" applyFill="1" applyBorder="1" applyAlignment="1">
      <alignment horizontal="centerContinuous" vertical="top"/>
    </xf>
    <xf numFmtId="0" fontId="28" fillId="30" borderId="46" xfId="48" applyFont="1" applyFill="1" applyBorder="1">
      <alignment vertical="top"/>
    </xf>
    <xf numFmtId="0" fontId="28" fillId="30" borderId="47" xfId="48" applyFont="1" applyFill="1" applyBorder="1">
      <alignment vertical="top"/>
    </xf>
    <xf numFmtId="0" fontId="84" fillId="30" borderId="46" xfId="48" applyFont="1" applyFill="1" applyBorder="1" applyAlignment="1">
      <alignment horizontal="centerContinuous" vertical="center"/>
    </xf>
    <xf numFmtId="0" fontId="31" fillId="30" borderId="47" xfId="38" applyFont="1" applyFill="1" applyBorder="1" applyAlignment="1">
      <alignment horizontal="centerContinuous" vertical="center"/>
    </xf>
    <xf numFmtId="0" fontId="12" fillId="30" borderId="52" xfId="48" applyFont="1" applyFill="1" applyBorder="1">
      <alignment vertical="top"/>
    </xf>
    <xf numFmtId="0" fontId="11" fillId="30" borderId="52" xfId="48" applyFont="1" applyFill="1" applyBorder="1">
      <alignment vertical="top"/>
    </xf>
    <xf numFmtId="0" fontId="11" fillId="30" borderId="53" xfId="48" applyFont="1" applyFill="1" applyBorder="1">
      <alignment vertical="top"/>
    </xf>
    <xf numFmtId="0" fontId="11" fillId="30" borderId="54" xfId="48" applyFont="1" applyFill="1" applyBorder="1">
      <alignment vertical="top"/>
    </xf>
    <xf numFmtId="0" fontId="11" fillId="30" borderId="55" xfId="48" applyFont="1" applyFill="1" applyBorder="1">
      <alignment vertical="top"/>
    </xf>
    <xf numFmtId="0" fontId="11" fillId="30" borderId="56" xfId="48" applyFont="1" applyFill="1" applyBorder="1">
      <alignment vertical="top"/>
    </xf>
    <xf numFmtId="0" fontId="11" fillId="30" borderId="52" xfId="0" applyFont="1" applyFill="1" applyBorder="1">
      <alignment vertical="center"/>
    </xf>
    <xf numFmtId="0" fontId="11" fillId="30" borderId="57" xfId="48" applyFont="1" applyFill="1" applyBorder="1">
      <alignment vertical="top"/>
    </xf>
    <xf numFmtId="9" fontId="85" fillId="52" borderId="46" xfId="69" applyFont="1" applyFill="1" applyBorder="1" applyAlignment="1">
      <alignment horizontal="centerContinuous" vertical="center" shrinkToFit="1"/>
    </xf>
    <xf numFmtId="178" fontId="85" fillId="52" borderId="48" xfId="38" applyNumberFormat="1" applyFont="1" applyFill="1" applyBorder="1" applyAlignment="1">
      <alignment horizontal="centerContinuous" vertical="center" shrinkToFit="1"/>
    </xf>
    <xf numFmtId="184" fontId="85" fillId="52" borderId="48" xfId="38" applyNumberFormat="1" applyFont="1" applyFill="1" applyBorder="1" applyAlignment="1">
      <alignment horizontal="centerContinuous" vertical="center" shrinkToFit="1"/>
    </xf>
    <xf numFmtId="0" fontId="85" fillId="30" borderId="46" xfId="48" applyFont="1" applyFill="1" applyBorder="1">
      <alignment vertical="top"/>
    </xf>
    <xf numFmtId="0" fontId="85" fillId="30" borderId="48" xfId="48" applyFont="1" applyFill="1" applyBorder="1">
      <alignment vertical="top"/>
    </xf>
    <xf numFmtId="186" fontId="85" fillId="52" borderId="46" xfId="38" applyNumberFormat="1" applyFont="1" applyFill="1" applyBorder="1" applyAlignment="1">
      <alignment horizontal="centerContinuous" vertical="center" shrinkToFit="1"/>
    </xf>
    <xf numFmtId="0" fontId="86" fillId="52" borderId="48" xfId="38" applyFont="1" applyFill="1" applyBorder="1" applyAlignment="1">
      <alignment horizontal="centerContinuous" vertical="center" shrinkToFit="1"/>
    </xf>
    <xf numFmtId="2" fontId="87" fillId="52" borderId="44" xfId="38" applyNumberFormat="1" applyFont="1" applyFill="1" applyBorder="1" applyAlignment="1">
      <alignment horizontal="center" vertical="center" shrinkToFit="1"/>
    </xf>
    <xf numFmtId="2" fontId="87" fillId="52" borderId="45" xfId="38" applyNumberFormat="1" applyFont="1" applyFill="1" applyBorder="1" applyAlignment="1">
      <alignment horizontal="center" vertical="center" shrinkToFit="1"/>
    </xf>
    <xf numFmtId="0" fontId="82" fillId="28" borderId="39" xfId="48" applyFont="1" applyFill="1" applyBorder="1" applyAlignment="1">
      <alignment horizontal="left" vertical="center" wrapText="1" indent="1"/>
    </xf>
    <xf numFmtId="0" fontId="79" fillId="28" borderId="42" xfId="48" applyFont="1" applyFill="1" applyBorder="1" applyAlignment="1">
      <alignment horizontal="left" vertical="center" indent="1"/>
    </xf>
    <xf numFmtId="0" fontId="11" fillId="28" borderId="41" xfId="48" applyFont="1" applyFill="1" applyBorder="1" applyAlignment="1">
      <alignment horizontal="left" vertical="center" indent="1"/>
    </xf>
    <xf numFmtId="176" fontId="26" fillId="28" borderId="41" xfId="38" applyNumberFormat="1" applyFont="1" applyFill="1" applyBorder="1" applyAlignment="1">
      <alignment horizontal="left" vertical="center" indent="1"/>
    </xf>
    <xf numFmtId="0" fontId="11" fillId="28" borderId="41" xfId="0" applyFont="1" applyFill="1" applyBorder="1" applyAlignment="1">
      <alignment horizontal="left" vertical="center" indent="1"/>
    </xf>
    <xf numFmtId="0" fontId="11" fillId="28" borderId="43" xfId="48" applyFont="1" applyFill="1" applyBorder="1" applyAlignment="1">
      <alignment horizontal="left" vertical="center" indent="1"/>
    </xf>
    <xf numFmtId="0" fontId="11" fillId="30" borderId="59" xfId="48" applyFont="1" applyFill="1" applyBorder="1">
      <alignment vertical="top"/>
    </xf>
    <xf numFmtId="0" fontId="11" fillId="30" borderId="60" xfId="48" applyFont="1" applyFill="1" applyBorder="1">
      <alignment vertical="top"/>
    </xf>
    <xf numFmtId="0" fontId="11" fillId="30" borderId="58" xfId="48" applyFont="1" applyFill="1" applyBorder="1">
      <alignment vertical="top"/>
    </xf>
    <xf numFmtId="166" fontId="49" fillId="27" borderId="46" xfId="38" quotePrefix="1" applyNumberFormat="1" applyFont="1" applyFill="1" applyBorder="1" applyAlignment="1">
      <alignment horizontal="centerContinuous" vertical="center" shrinkToFit="1"/>
    </xf>
    <xf numFmtId="182" fontId="49" fillId="27" borderId="48" xfId="38" applyNumberFormat="1" applyFont="1" applyFill="1" applyBorder="1" applyAlignment="1">
      <alignment horizontal="centerContinuous" vertical="center" shrinkToFit="1"/>
    </xf>
    <xf numFmtId="185" fontId="49" fillId="27" borderId="46" xfId="38" quotePrefix="1" applyNumberFormat="1" applyFont="1" applyFill="1" applyBorder="1" applyAlignment="1">
      <alignment horizontal="centerContinuous" vertical="center" shrinkToFit="1"/>
    </xf>
    <xf numFmtId="0" fontId="30" fillId="18" borderId="0" xfId="48" applyFont="1" applyFill="1" applyAlignment="1"/>
    <xf numFmtId="0" fontId="0" fillId="30" borderId="0" xfId="48" applyFont="1" applyFill="1">
      <alignment vertical="top"/>
    </xf>
    <xf numFmtId="0" fontId="0" fillId="30" borderId="0" xfId="48" applyFont="1" applyFill="1" applyAlignment="1">
      <alignment vertical="center"/>
    </xf>
    <xf numFmtId="0" fontId="70" fillId="0" borderId="0" xfId="104" applyFont="1" applyFill="1">
      <alignment vertical="center"/>
    </xf>
    <xf numFmtId="0" fontId="15" fillId="23" borderId="0" xfId="103" applyFont="1" applyFill="1" applyAlignment="1">
      <alignment horizontal="left" vertical="center" indent="1"/>
    </xf>
    <xf numFmtId="0" fontId="88" fillId="23" borderId="0" xfId="104" applyFont="1" applyFill="1">
      <alignment vertical="center"/>
    </xf>
    <xf numFmtId="0" fontId="15" fillId="23" borderId="0" xfId="104" applyFont="1" applyFill="1" applyAlignment="1">
      <alignment horizontal="right" vertical="center"/>
    </xf>
    <xf numFmtId="172" fontId="89" fillId="30" borderId="51" xfId="48" applyNumberFormat="1" applyFont="1" applyFill="1" applyBorder="1" applyAlignment="1">
      <alignment horizontal="left" vertical="center"/>
    </xf>
    <xf numFmtId="0" fontId="78" fillId="30" borderId="0" xfId="48" applyFont="1" applyFill="1" applyAlignment="1">
      <alignment vertical="center"/>
    </xf>
    <xf numFmtId="189" fontId="89" fillId="30" borderId="51" xfId="48" applyNumberFormat="1" applyFont="1" applyFill="1" applyBorder="1" applyAlignment="1">
      <alignment horizontal="right" vertical="center"/>
    </xf>
    <xf numFmtId="0" fontId="89" fillId="30" borderId="51" xfId="48" applyFont="1" applyFill="1" applyBorder="1" applyAlignment="1">
      <alignment horizontal="left" vertical="center"/>
    </xf>
    <xf numFmtId="0" fontId="89" fillId="30" borderId="51" xfId="48" applyFont="1" applyFill="1" applyBorder="1" applyAlignment="1">
      <alignment horizontal="right" vertical="center"/>
    </xf>
  </cellXfs>
  <cellStyles count="106">
    <cellStyle name="20% - Akzent1" xfId="2" xr:uid="{00000000-0005-0000-0000-000000000000}"/>
    <cellStyle name="20% - Akzent2" xfId="3" xr:uid="{00000000-0005-0000-0000-000001000000}"/>
    <cellStyle name="20% - Akzent3" xfId="4" xr:uid="{00000000-0005-0000-0000-000002000000}"/>
    <cellStyle name="20% - Akzent4" xfId="5" xr:uid="{00000000-0005-0000-0000-000003000000}"/>
    <cellStyle name="20% - Akzent5" xfId="6" xr:uid="{00000000-0005-0000-0000-000004000000}"/>
    <cellStyle name="20% - Akzent6" xfId="7" xr:uid="{00000000-0005-0000-0000-000005000000}"/>
    <cellStyle name="40% - Akzent1" xfId="8" xr:uid="{00000000-0005-0000-0000-000006000000}"/>
    <cellStyle name="40% - Akzent2" xfId="9" xr:uid="{00000000-0005-0000-0000-000007000000}"/>
    <cellStyle name="40% - Akzent3" xfId="10" xr:uid="{00000000-0005-0000-0000-000008000000}"/>
    <cellStyle name="40% - Akzent4" xfId="11" xr:uid="{00000000-0005-0000-0000-000009000000}"/>
    <cellStyle name="40% - Akzent5" xfId="12" xr:uid="{00000000-0005-0000-0000-00000A000000}"/>
    <cellStyle name="40% - Akzent6" xfId="13" xr:uid="{00000000-0005-0000-0000-00000B000000}"/>
    <cellStyle name="60% - Akzent1" xfId="14" xr:uid="{00000000-0005-0000-0000-00000C000000}"/>
    <cellStyle name="60% - Akzent2" xfId="15" xr:uid="{00000000-0005-0000-0000-00000D000000}"/>
    <cellStyle name="60% - Akzent3" xfId="16" xr:uid="{00000000-0005-0000-0000-00000E000000}"/>
    <cellStyle name="60% - Akzent4" xfId="17" xr:uid="{00000000-0005-0000-0000-00000F000000}"/>
    <cellStyle name="60% - Akzent5" xfId="18" xr:uid="{00000000-0005-0000-0000-000010000000}"/>
    <cellStyle name="60% - Akzent6" xfId="19" xr:uid="{00000000-0005-0000-0000-000011000000}"/>
    <cellStyle name="Akzent1" xfId="78" xr:uid="{00000000-0005-0000-0000-000012000000}"/>
    <cellStyle name="Akzent1 2" xfId="20" xr:uid="{00000000-0005-0000-0000-000013000000}"/>
    <cellStyle name="Akzent2" xfId="79" xr:uid="{00000000-0005-0000-0000-000014000000}"/>
    <cellStyle name="Akzent2 2" xfId="21" xr:uid="{00000000-0005-0000-0000-000015000000}"/>
    <cellStyle name="Akzent3" xfId="80" xr:uid="{00000000-0005-0000-0000-000016000000}"/>
    <cellStyle name="Akzent3 2" xfId="22" xr:uid="{00000000-0005-0000-0000-000017000000}"/>
    <cellStyle name="Akzent4" xfId="81" xr:uid="{00000000-0005-0000-0000-000018000000}"/>
    <cellStyle name="Akzent4 2" xfId="23" xr:uid="{00000000-0005-0000-0000-000019000000}"/>
    <cellStyle name="Akzent5" xfId="82" xr:uid="{00000000-0005-0000-0000-00001A000000}"/>
    <cellStyle name="Akzent5 2" xfId="24" xr:uid="{00000000-0005-0000-0000-00001B000000}"/>
    <cellStyle name="Akzent6" xfId="83" xr:uid="{00000000-0005-0000-0000-00001C000000}"/>
    <cellStyle name="Akzent6 2" xfId="25" xr:uid="{00000000-0005-0000-0000-00001D000000}"/>
    <cellStyle name="Ausgabe" xfId="84" xr:uid="{00000000-0005-0000-0000-00001E000000}"/>
    <cellStyle name="Ausgabe 2" xfId="26" xr:uid="{00000000-0005-0000-0000-00001F000000}"/>
    <cellStyle name="Berechnung" xfId="85" xr:uid="{00000000-0005-0000-0000-000020000000}"/>
    <cellStyle name="Berechnung 2" xfId="27" xr:uid="{00000000-0005-0000-0000-000021000000}"/>
    <cellStyle name="ColLevel_1 2" xfId="73" xr:uid="{00000000-0005-0000-0000-000022000000}"/>
    <cellStyle name="Comment" xfId="28" xr:uid="{00000000-0005-0000-0000-000023000000}"/>
    <cellStyle name="Constant" xfId="29" xr:uid="{00000000-0005-0000-0000-000024000000}"/>
    <cellStyle name="Constant 2" xfId="74" xr:uid="{00000000-0005-0000-0000-000025000000}"/>
    <cellStyle name="DataSheet" xfId="30" xr:uid="{00000000-0005-0000-0000-000026000000}"/>
    <cellStyle name="Eingabe" xfId="1" xr:uid="{00000000-0005-0000-0000-000027000000}"/>
    <cellStyle name="Eingabe 2" xfId="31" xr:uid="{00000000-0005-0000-0000-000028000000}"/>
    <cellStyle name="Eingabe oder Formel" xfId="32" xr:uid="{00000000-0005-0000-0000-000029000000}"/>
    <cellStyle name="Eingabe1" xfId="33" xr:uid="{00000000-0005-0000-0000-00002A000000}"/>
    <cellStyle name="Ergebnis" xfId="86" xr:uid="{00000000-0005-0000-0000-00002B000000}"/>
    <cellStyle name="Ergebnis 2" xfId="34" xr:uid="{00000000-0005-0000-0000-00002C000000}"/>
    <cellStyle name="Erklärender Text" xfId="87" xr:uid="{00000000-0005-0000-0000-00002D000000}"/>
    <cellStyle name="Erklärender Text 2" xfId="35" xr:uid="{00000000-0005-0000-0000-00002E000000}"/>
    <cellStyle name="Euro" xfId="36" xr:uid="{00000000-0005-0000-0000-00002F000000}"/>
    <cellStyle name="Formel" xfId="37" xr:uid="{00000000-0005-0000-0000-000030000000}"/>
    <cellStyle name="Formel 2" xfId="38" xr:uid="{00000000-0005-0000-0000-000031000000}"/>
    <cellStyle name="Formel_externer_Bezug" xfId="39" xr:uid="{00000000-0005-0000-0000-000032000000}"/>
    <cellStyle name="Formula" xfId="40" xr:uid="{00000000-0005-0000-0000-000033000000}"/>
    <cellStyle name="Formula 2" xfId="75" xr:uid="{00000000-0005-0000-0000-000034000000}"/>
    <cellStyle name="Formula_ExternalLink" xfId="76" xr:uid="{00000000-0005-0000-0000-000035000000}"/>
    <cellStyle name="Gut" xfId="88" xr:uid="{00000000-0005-0000-0000-000036000000}"/>
    <cellStyle name="Gut 2" xfId="41" xr:uid="{00000000-0005-0000-0000-000037000000}"/>
    <cellStyle name="Heading1" xfId="42" xr:uid="{00000000-0005-0000-0000-000038000000}"/>
    <cellStyle name="Hyperlink 2" xfId="43" xr:uid="{00000000-0005-0000-0000-000039000000}"/>
    <cellStyle name="Input 2" xfId="44" xr:uid="{00000000-0005-0000-0000-00003A000000}"/>
    <cellStyle name="Input Validation List" xfId="101" xr:uid="{0FCF22BB-A900-45CB-94D0-4AA74E35BD9B}"/>
    <cellStyle name="Input_Date" xfId="100" xr:uid="{6C7EB8CC-AE82-4D16-BB51-42EE7BA1040A}"/>
    <cellStyle name="Input_InCellDropDown" xfId="77" xr:uid="{00000000-0005-0000-0000-00003B000000}"/>
    <cellStyle name="Label" xfId="45" xr:uid="{00000000-0005-0000-0000-00003C000000}"/>
    <cellStyle name="Label 2" xfId="70" xr:uid="{00000000-0005-0000-0000-00003D000000}"/>
    <cellStyle name="Link" xfId="102" builtinId="8"/>
    <cellStyle name="Normal 2" xfId="46" xr:uid="{00000000-0005-0000-0000-00003F000000}"/>
    <cellStyle name="Normal 2 2" xfId="47" xr:uid="{00000000-0005-0000-0000-000040000000}"/>
    <cellStyle name="Normal 3" xfId="48" xr:uid="{00000000-0005-0000-0000-000041000000}"/>
    <cellStyle name="Normal 4" xfId="49" xr:uid="{00000000-0005-0000-0000-000042000000}"/>
    <cellStyle name="Normal_Book2" xfId="103" xr:uid="{1D8AB2BE-C370-45FF-B01C-77EE1D976D8B}"/>
    <cellStyle name="Notiz" xfId="89" xr:uid="{00000000-0005-0000-0000-000044000000}"/>
    <cellStyle name="Notiz 2" xfId="50" xr:uid="{00000000-0005-0000-0000-000045000000}"/>
    <cellStyle name="Prozent" xfId="69" builtinId="5"/>
    <cellStyle name="Prozent 2" xfId="72" xr:uid="{00000000-0005-0000-0000-000047000000}"/>
    <cellStyle name="Schlecht" xfId="90" xr:uid="{00000000-0005-0000-0000-000048000000}"/>
    <cellStyle name="Schlecht 2" xfId="51" xr:uid="{00000000-0005-0000-0000-000049000000}"/>
    <cellStyle name="Standard" xfId="0" builtinId="0" customBuiltin="1"/>
    <cellStyle name="Standard 2" xfId="52" xr:uid="{00000000-0005-0000-0000-00004A000000}"/>
    <cellStyle name="Standard 2 2" xfId="53" xr:uid="{00000000-0005-0000-0000-00004B000000}"/>
    <cellStyle name="Standard 3" xfId="54" xr:uid="{00000000-0005-0000-0000-00004C000000}"/>
    <cellStyle name="Standard 4" xfId="55" xr:uid="{00000000-0005-0000-0000-00004D000000}"/>
    <cellStyle name="Standard 5" xfId="56" xr:uid="{00000000-0005-0000-0000-00004E000000}"/>
    <cellStyle name="Standard 6" xfId="57" xr:uid="{00000000-0005-0000-0000-00004F000000}"/>
    <cellStyle name="Standard 6 2" xfId="71" xr:uid="{00000000-0005-0000-0000-000050000000}"/>
    <cellStyle name="Standard_dena Energiepass Arbeitshilfe - Berechnung und Tabellen 2" xfId="104" xr:uid="{99D2A0B0-9F06-407C-90B6-657E4FA60A5E}"/>
    <cellStyle name="Standard_Standard - mit grauem Hintergrund1" xfId="105" xr:uid="{BEF476F0-6E89-474A-A60F-F6F53F95BFE8}"/>
    <cellStyle name="Standard_Standard TL1" xfId="91" xr:uid="{00000000-0005-0000-0000-000051000000}"/>
    <cellStyle name="Überschrift" xfId="92" xr:uid="{00000000-0005-0000-0000-000053000000}"/>
    <cellStyle name="Überschrift 1" xfId="93" xr:uid="{00000000-0005-0000-0000-000054000000}"/>
    <cellStyle name="Überschrift 1 2" xfId="58" xr:uid="{00000000-0005-0000-0000-000055000000}"/>
    <cellStyle name="Überschrift 2" xfId="94" xr:uid="{00000000-0005-0000-0000-000056000000}"/>
    <cellStyle name="Überschrift 2 2" xfId="59" xr:uid="{00000000-0005-0000-0000-000057000000}"/>
    <cellStyle name="Überschrift 3" xfId="95" xr:uid="{00000000-0005-0000-0000-000058000000}"/>
    <cellStyle name="Überschrift 3 2" xfId="60" xr:uid="{00000000-0005-0000-0000-000059000000}"/>
    <cellStyle name="Überschrift 4" xfId="96" xr:uid="{00000000-0005-0000-0000-00005A000000}"/>
    <cellStyle name="Überschrift 4 2" xfId="61" xr:uid="{00000000-0005-0000-0000-00005B000000}"/>
    <cellStyle name="Überschrift 5" xfId="62" xr:uid="{00000000-0005-0000-0000-00005C000000}"/>
    <cellStyle name="Ueberschrift" xfId="63" xr:uid="{00000000-0005-0000-0000-00005D000000}"/>
    <cellStyle name="Ueberschrift 2" xfId="64" xr:uid="{00000000-0005-0000-0000-00005E000000}"/>
    <cellStyle name="Vector-Formula" xfId="65" xr:uid="{00000000-0005-0000-0000-00005F000000}"/>
    <cellStyle name="Verknüpfte Zelle" xfId="97" xr:uid="{00000000-0005-0000-0000-000060000000}"/>
    <cellStyle name="Verknüpfte Zelle 2" xfId="66" xr:uid="{00000000-0005-0000-0000-000061000000}"/>
    <cellStyle name="Warnender Text" xfId="98" xr:uid="{00000000-0005-0000-0000-000062000000}"/>
    <cellStyle name="Warnender Text 2" xfId="67" xr:uid="{00000000-0005-0000-0000-000063000000}"/>
    <cellStyle name="Zelle überprüfen" xfId="99" xr:uid="{00000000-0005-0000-0000-000064000000}"/>
    <cellStyle name="Zelle überprüfen 2" xfId="68" xr:uid="{00000000-0005-0000-0000-000065000000}"/>
  </cellStyles>
  <dxfs count="298">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
      <font>
        <color rgb="FFC0C0C0"/>
      </font>
    </dxf>
  </dxfs>
  <tableStyles count="0" defaultTableStyle="TableStyleMedium2" defaultPivotStyle="PivotStyleLight16"/>
  <colors>
    <mruColors>
      <color rgb="FFC0C0C0"/>
      <color rgb="FFDDDDDD"/>
      <color rgb="FFEAEAEA"/>
      <color rgb="FF969696"/>
      <color rgb="FFF8F8F8"/>
      <color rgb="FFCC9900"/>
      <color rgb="FFFF7C80"/>
      <color rgb="FFFF00FF"/>
      <color rgb="FF99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9768518518519"/>
          <c:y val="3.2337962962962964E-2"/>
          <c:w val="0.70852592592592589"/>
          <c:h val="0.8497555555555556"/>
        </c:manualLayout>
      </c:layout>
      <c:scatterChart>
        <c:scatterStyle val="lineMarker"/>
        <c:varyColors val="0"/>
        <c:ser>
          <c:idx val="0"/>
          <c:order val="0"/>
          <c:tx>
            <c:strRef>
              <c:f>'Calc.U.Uncertainty'!$DC$1</c:f>
              <c:strCache>
                <c:ptCount val="1"/>
                <c:pt idx="0">
                  <c:v>U_eff</c:v>
                </c:pt>
              </c:strCache>
            </c:strRef>
          </c:tx>
          <c:spPr>
            <a:ln>
              <a:solidFill>
                <a:srgbClr val="FF6600"/>
              </a:solidFill>
            </a:ln>
          </c:spPr>
          <c:marker>
            <c:symbol val="circle"/>
            <c:size val="6"/>
            <c:spPr>
              <a:solidFill>
                <a:srgbClr val="FF6600"/>
              </a:solidFill>
              <a:ln w="19050">
                <a:solidFill>
                  <a:srgbClr val="FF6600"/>
                </a:solidFill>
                <a:miter lim="800000"/>
              </a:ln>
            </c:spPr>
          </c:marker>
          <c:xVal>
            <c:numRef>
              <c:f>'Calc.U.Uncertainty'!$DB$114:$DB$124</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'Calc.U.Uncertainty'!$DC$114:$DC$124</c:f>
              <c:numCache>
                <c:formatCode>0.000</c:formatCode>
                <c:ptCount val="11"/>
                <c:pt idx="0">
                  <c:v>1.0344827586206897</c:v>
                </c:pt>
                <c:pt idx="1">
                  <c:v>1.3632911392405065</c:v>
                </c:pt>
                <c:pt idx="2">
                  <c:v>1.2265822784810128</c:v>
                </c:pt>
                <c:pt idx="3">
                  <c:v>1.0898734177215188</c:v>
                </c:pt>
                <c:pt idx="4">
                  <c:v>0.95316455696202529</c:v>
                </c:pt>
                <c:pt idx="5">
                  <c:v>0.81645569620253167</c:v>
                </c:pt>
                <c:pt idx="6">
                  <c:v>0.67974683544303804</c:v>
                </c:pt>
                <c:pt idx="7">
                  <c:v>0.54303797468354442</c:v>
                </c:pt>
                <c:pt idx="8">
                  <c:v>0.40632911392405058</c:v>
                </c:pt>
                <c:pt idx="9">
                  <c:v>0.26962025316455696</c:v>
                </c:pt>
                <c:pt idx="10">
                  <c:v>0.13291139240506331</c:v>
                </c:pt>
              </c:numCache>
            </c:numRef>
          </c:yVal>
          <c:smooth val="0"/>
          <c:extLst>
            <c:ext xmlns:c16="http://schemas.microsoft.com/office/drawing/2014/chart" uri="{C3380CC4-5D6E-409C-BE32-E72D297353CC}">
              <c16:uniqueId val="{00000000-DC91-4306-94AA-DC2C7AD05417}"/>
            </c:ext>
          </c:extLst>
        </c:ser>
        <c:ser>
          <c:idx val="1"/>
          <c:order val="1"/>
          <c:tx>
            <c:strRef>
              <c:f>'Calc.U.Uncertainty'!$DD$1</c:f>
              <c:strCache>
                <c:ptCount val="1"/>
                <c:pt idx="0">
                  <c:v>U_Unc_Upper</c:v>
                </c:pt>
              </c:strCache>
            </c:strRef>
          </c:tx>
          <c:spPr>
            <a:ln>
              <a:solidFill>
                <a:srgbClr val="FF0000"/>
              </a:solidFill>
              <a:prstDash val="dash"/>
            </a:ln>
          </c:spPr>
          <c:marker>
            <c:symbol val="none"/>
          </c:marker>
          <c:xVal>
            <c:numRef>
              <c:f>'Calc.U.Uncertainty'!$DB$114:$DB$124</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'Calc.U.Uncertainty'!$DD$114:$DD$124</c:f>
              <c:numCache>
                <c:formatCode>0.000</c:formatCode>
                <c:ptCount val="11"/>
                <c:pt idx="0">
                  <c:v>1.3448275862068966</c:v>
                </c:pt>
                <c:pt idx="1">
                  <c:v>1.7910819036127132</c:v>
                </c:pt>
                <c:pt idx="2">
                  <c:v>1.6792231919569269</c:v>
                </c:pt>
                <c:pt idx="3">
                  <c:v>1.5078327606720816</c:v>
                </c:pt>
                <c:pt idx="4">
                  <c:v>1.3385105357067129</c:v>
                </c:pt>
                <c:pt idx="5">
                  <c:v>1.1718263892505303</c:v>
                </c:pt>
                <c:pt idx="6">
                  <c:v>1.0085027187178588</c:v>
                </c:pt>
                <c:pt idx="7">
                  <c:v>0.84941654323212801</c:v>
                </c:pt>
                <c:pt idx="8">
                  <c:v>0.6955531082807247</c:v>
                </c:pt>
                <c:pt idx="9">
                  <c:v>0.41577280324351656</c:v>
                </c:pt>
                <c:pt idx="10">
                  <c:v>0.15399544480331587</c:v>
                </c:pt>
              </c:numCache>
            </c:numRef>
          </c:yVal>
          <c:smooth val="0"/>
          <c:extLst>
            <c:ext xmlns:c16="http://schemas.microsoft.com/office/drawing/2014/chart" uri="{C3380CC4-5D6E-409C-BE32-E72D297353CC}">
              <c16:uniqueId val="{00000001-DC91-4306-94AA-DC2C7AD05417}"/>
            </c:ext>
          </c:extLst>
        </c:ser>
        <c:ser>
          <c:idx val="2"/>
          <c:order val="2"/>
          <c:tx>
            <c:strRef>
              <c:f>'Calc.U.Uncertainty'!$DE$1</c:f>
              <c:strCache>
                <c:ptCount val="1"/>
                <c:pt idx="0">
                  <c:v>U_Unc_Lower</c:v>
                </c:pt>
              </c:strCache>
            </c:strRef>
          </c:tx>
          <c:spPr>
            <a:ln>
              <a:solidFill>
                <a:srgbClr val="008000"/>
              </a:solidFill>
              <a:prstDash val="dash"/>
            </a:ln>
          </c:spPr>
          <c:marker>
            <c:symbol val="none"/>
          </c:marker>
          <c:xVal>
            <c:numRef>
              <c:f>'Calc.U.Uncertainty'!$DB$114:$DB$124</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'Calc.U.Uncertainty'!$DE$114:$DE$124</c:f>
              <c:numCache>
                <c:formatCode>0.000</c:formatCode>
                <c:ptCount val="11"/>
                <c:pt idx="0">
                  <c:v>0.72413793103448287</c:v>
                </c:pt>
                <c:pt idx="1">
                  <c:v>0.93550037486829962</c:v>
                </c:pt>
                <c:pt idx="2">
                  <c:v>0.77394136500509858</c:v>
                </c:pt>
                <c:pt idx="3">
                  <c:v>0.67191407477095599</c:v>
                </c:pt>
                <c:pt idx="4">
                  <c:v>0.56781857821733772</c:v>
                </c:pt>
                <c:pt idx="5">
                  <c:v>0.46108500315453294</c:v>
                </c:pt>
                <c:pt idx="6">
                  <c:v>0.35099095216821724</c:v>
                </c:pt>
                <c:pt idx="7">
                  <c:v>0.23665940613496084</c:v>
                </c:pt>
                <c:pt idx="8">
                  <c:v>0.11710511956737651</c:v>
                </c:pt>
                <c:pt idx="9">
                  <c:v>0.12346770308559735</c:v>
                </c:pt>
                <c:pt idx="10">
                  <c:v>0.11182734000681074</c:v>
                </c:pt>
              </c:numCache>
            </c:numRef>
          </c:yVal>
          <c:smooth val="0"/>
          <c:extLst>
            <c:ext xmlns:c16="http://schemas.microsoft.com/office/drawing/2014/chart" uri="{C3380CC4-5D6E-409C-BE32-E72D297353CC}">
              <c16:uniqueId val="{00000002-DC91-4306-94AA-DC2C7AD05417}"/>
            </c:ext>
          </c:extLst>
        </c:ser>
        <c:dLbls>
          <c:showLegendKey val="0"/>
          <c:showVal val="0"/>
          <c:showCatName val="0"/>
          <c:showSerName val="0"/>
          <c:showPercent val="0"/>
          <c:showBubbleSize val="0"/>
        </c:dLbls>
        <c:axId val="1072942464"/>
        <c:axId val="1072945024"/>
      </c:scatterChart>
      <c:scatterChart>
        <c:scatterStyle val="lineMarker"/>
        <c:varyColors val="0"/>
        <c:ser>
          <c:idx val="3"/>
          <c:order val="3"/>
          <c:tx>
            <c:strRef>
              <c:f>'Calc.U.Uncertainty'!$DF$1</c:f>
              <c:strCache>
                <c:ptCount val="1"/>
                <c:pt idx="0">
                  <c:v>Delta_RelUnc_U_Eff</c:v>
                </c:pt>
              </c:strCache>
            </c:strRef>
          </c:tx>
          <c:spPr>
            <a:ln>
              <a:solidFill>
                <a:srgbClr val="0000CC"/>
              </a:solidFill>
              <a:prstDash val="sysDot"/>
            </a:ln>
          </c:spPr>
          <c:marker>
            <c:symbol val="x"/>
            <c:size val="6"/>
            <c:spPr>
              <a:noFill/>
              <a:ln w="19050">
                <a:solidFill>
                  <a:srgbClr val="0000CC"/>
                </a:solidFill>
              </a:ln>
            </c:spPr>
          </c:marker>
          <c:xVal>
            <c:numRef>
              <c:f>'Calc.U.Uncertainty'!$DB$114:$DB$124</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'Calc.U.Uncertainty'!$DF$114:$DF$124</c:f>
              <c:numCache>
                <c:formatCode>"+/-"\ 0%</c:formatCode>
                <c:ptCount val="11"/>
                <c:pt idx="0">
                  <c:v>0.29999999999999993</c:v>
                </c:pt>
                <c:pt idx="1">
                  <c:v>0.31379266838815539</c:v>
                </c:pt>
                <c:pt idx="2">
                  <c:v>0.36902613172958942</c:v>
                </c:pt>
                <c:pt idx="3">
                  <c:v>0.38349347378739218</c:v>
                </c:pt>
                <c:pt idx="4">
                  <c:v>0.40428064171089401</c:v>
                </c:pt>
                <c:pt idx="5">
                  <c:v>0.43526022869444797</c:v>
                </c:pt>
                <c:pt idx="6">
                  <c:v>0.48364459550671951</c:v>
                </c:pt>
                <c:pt idx="7">
                  <c:v>0.56419363439016545</c:v>
                </c:pt>
                <c:pt idx="8">
                  <c:v>0.71179736928901116</c:v>
                </c:pt>
                <c:pt idx="9">
                  <c:v>0.54206814348534316</c:v>
                </c:pt>
                <c:pt idx="10">
                  <c:v>0.15863239423447165</c:v>
                </c:pt>
              </c:numCache>
            </c:numRef>
          </c:yVal>
          <c:smooth val="0"/>
          <c:extLst>
            <c:ext xmlns:c16="http://schemas.microsoft.com/office/drawing/2014/chart" uri="{C3380CC4-5D6E-409C-BE32-E72D297353CC}">
              <c16:uniqueId val="{00000003-DC91-4306-94AA-DC2C7AD05417}"/>
            </c:ext>
          </c:extLst>
        </c:ser>
        <c:dLbls>
          <c:showLegendKey val="0"/>
          <c:showVal val="0"/>
          <c:showCatName val="0"/>
          <c:showSerName val="0"/>
          <c:showPercent val="0"/>
          <c:showBubbleSize val="0"/>
        </c:dLbls>
        <c:axId val="1072953216"/>
        <c:axId val="1072951296"/>
      </c:scatterChart>
      <c:valAx>
        <c:axId val="1072942464"/>
        <c:scaling>
          <c:orientation val="minMax"/>
          <c:max val="1"/>
          <c:min val="0"/>
        </c:scaling>
        <c:delete val="0"/>
        <c:axPos val="b"/>
        <c:majorGridlines>
          <c:spPr>
            <a:ln>
              <a:solidFill>
                <a:srgbClr val="C0C0C0"/>
              </a:solidFill>
            </a:ln>
          </c:spPr>
        </c:majorGridlines>
        <c:minorGridlines>
          <c:spPr>
            <a:ln>
              <a:solidFill>
                <a:srgbClr val="EAEAEA"/>
              </a:solidFill>
            </a:ln>
          </c:spPr>
        </c:minorGridlines>
        <c:title>
          <c:tx>
            <c:rich>
              <a:bodyPr/>
              <a:lstStyle/>
              <a:p>
                <a:pPr>
                  <a:defRPr/>
                </a:pPr>
                <a:r>
                  <a:rPr lang="de-DE"/>
                  <a:t>f_Insulation</a:t>
                </a:r>
              </a:p>
            </c:rich>
          </c:tx>
          <c:overlay val="0"/>
        </c:title>
        <c:numFmt formatCode="0%" sourceLinked="1"/>
        <c:majorTickMark val="out"/>
        <c:minorTickMark val="none"/>
        <c:tickLblPos val="nextTo"/>
        <c:crossAx val="1072945024"/>
        <c:crosses val="autoZero"/>
        <c:crossBetween val="midCat"/>
      </c:valAx>
      <c:valAx>
        <c:axId val="1072945024"/>
        <c:scaling>
          <c:orientation val="minMax"/>
          <c:max val="3"/>
          <c:min val="0"/>
        </c:scaling>
        <c:delete val="0"/>
        <c:axPos val="l"/>
        <c:majorGridlines>
          <c:spPr>
            <a:ln>
              <a:solidFill>
                <a:srgbClr val="C0C0C0"/>
              </a:solidFill>
            </a:ln>
          </c:spPr>
        </c:majorGridlines>
        <c:minorGridlines>
          <c:spPr>
            <a:ln>
              <a:solidFill>
                <a:srgbClr val="EAEAEA"/>
              </a:solidFill>
            </a:ln>
          </c:spPr>
        </c:minorGridlines>
        <c:title>
          <c:tx>
            <c:rich>
              <a:bodyPr rot="-5400000" vert="horz"/>
              <a:lstStyle/>
              <a:p>
                <a:pPr>
                  <a:defRPr/>
                </a:pPr>
                <a:r>
                  <a:rPr lang="de-DE" baseline="0"/>
                  <a:t>U_Eff [W/(m²K)]</a:t>
                </a:r>
                <a:endParaRPr lang="de-DE"/>
              </a:p>
            </c:rich>
          </c:tx>
          <c:layout>
            <c:manualLayout>
              <c:xMode val="edge"/>
              <c:yMode val="edge"/>
              <c:x val="3.2337962962962964E-2"/>
              <c:y val="0.52124490740740737"/>
            </c:manualLayout>
          </c:layout>
          <c:overlay val="0"/>
        </c:title>
        <c:numFmt formatCode="0.0" sourceLinked="0"/>
        <c:majorTickMark val="cross"/>
        <c:minorTickMark val="out"/>
        <c:tickLblPos val="nextTo"/>
        <c:crossAx val="1072942464"/>
        <c:crosses val="autoZero"/>
        <c:crossBetween val="midCat"/>
        <c:majorUnit val="0.5"/>
        <c:minorUnit val="0.1"/>
      </c:valAx>
      <c:valAx>
        <c:axId val="1072951296"/>
        <c:scaling>
          <c:orientation val="minMax"/>
          <c:max val="1"/>
          <c:min val="-2"/>
        </c:scaling>
        <c:delete val="0"/>
        <c:axPos val="r"/>
        <c:title>
          <c:tx>
            <c:rich>
              <a:bodyPr rot="-5400000" vert="horz"/>
              <a:lstStyle/>
              <a:p>
                <a:pPr>
                  <a:defRPr/>
                </a:pPr>
                <a:r>
                  <a:rPr lang="de-DE"/>
                  <a:t>Delta_RelUnc_U_Eff</a:t>
                </a:r>
              </a:p>
            </c:rich>
          </c:tx>
          <c:layout>
            <c:manualLayout>
              <c:xMode val="edge"/>
              <c:yMode val="edge"/>
              <c:x val="0.94483425925925935"/>
              <c:y val="6.3353935185185173E-2"/>
            </c:manualLayout>
          </c:layout>
          <c:overlay val="0"/>
        </c:title>
        <c:numFmt formatCode="&quot;+/-&quot;\ 0%" sourceLinked="1"/>
        <c:majorTickMark val="out"/>
        <c:minorTickMark val="out"/>
        <c:tickLblPos val="nextTo"/>
        <c:crossAx val="1072953216"/>
        <c:crosses val="max"/>
        <c:crossBetween val="midCat"/>
        <c:majorUnit val="0.2"/>
        <c:minorUnit val="0.1"/>
      </c:valAx>
      <c:valAx>
        <c:axId val="1072953216"/>
        <c:scaling>
          <c:orientation val="minMax"/>
          <c:max val="1"/>
          <c:min val="0"/>
        </c:scaling>
        <c:delete val="0"/>
        <c:axPos val="b"/>
        <c:numFmt formatCode="0%" sourceLinked="1"/>
        <c:majorTickMark val="out"/>
        <c:minorTickMark val="none"/>
        <c:tickLblPos val="none"/>
        <c:spPr>
          <a:ln w="38100" cmpd="dbl"/>
        </c:spPr>
        <c:crossAx val="1072951296"/>
        <c:crossesAt val="0"/>
        <c:crossBetween val="midCat"/>
      </c:valAx>
      <c:spPr>
        <a:solidFill>
          <a:schemeClr val="bg1"/>
        </a:solidFill>
      </c:spPr>
    </c:plotArea>
    <c:legend>
      <c:legendPos val="r"/>
      <c:layout>
        <c:manualLayout>
          <c:xMode val="edge"/>
          <c:yMode val="edge"/>
          <c:x val="0.50924560185185186"/>
          <c:y val="0.33487546296296294"/>
          <c:w val="0.30588912037037036"/>
          <c:h val="0.17150462962962959"/>
        </c:manualLayout>
      </c:layout>
      <c:overlay val="1"/>
    </c:legend>
    <c:plotVisOnly val="1"/>
    <c:dispBlanksAs val="gap"/>
    <c:showDLblsOverMax val="0"/>
  </c:chart>
  <c:spPr>
    <a:solidFill>
      <a:srgbClr val="F8F8F8"/>
    </a:solidFill>
    <a:ln>
      <a:noFill/>
    </a:ln>
  </c:spPr>
  <c:txPr>
    <a:bodyPr/>
    <a:lstStyle/>
    <a:p>
      <a:pPr>
        <a:defRPr sz="800"/>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9768518518519"/>
          <c:y val="3.2337962962962964E-2"/>
          <c:w val="0.70852592592592589"/>
          <c:h val="0.8497555555555556"/>
        </c:manualLayout>
      </c:layout>
      <c:scatterChart>
        <c:scatterStyle val="lineMarker"/>
        <c:varyColors val="0"/>
        <c:ser>
          <c:idx val="0"/>
          <c:order val="0"/>
          <c:tx>
            <c:strRef>
              <c:f>'Calc.U.Uncertainty'!$DC$1</c:f>
              <c:strCache>
                <c:ptCount val="1"/>
                <c:pt idx="0">
                  <c:v>U_eff</c:v>
                </c:pt>
              </c:strCache>
            </c:strRef>
          </c:tx>
          <c:spPr>
            <a:ln>
              <a:solidFill>
                <a:srgbClr val="FF6600"/>
              </a:solidFill>
            </a:ln>
          </c:spPr>
          <c:marker>
            <c:symbol val="circle"/>
            <c:size val="6"/>
            <c:spPr>
              <a:solidFill>
                <a:srgbClr val="FF6600"/>
              </a:solidFill>
              <a:ln w="19050">
                <a:solidFill>
                  <a:srgbClr val="FF6600"/>
                </a:solidFill>
                <a:miter lim="800000"/>
              </a:ln>
            </c:spPr>
          </c:marker>
          <c:xVal>
            <c:numRef>
              <c:f>'Calc.U.Uncertainty'!$DB$125:$DB$136</c:f>
              <c:numCache>
                <c:formatCode>General</c:formatCode>
                <c:ptCount val="12"/>
                <c:pt idx="0">
                  <c:v>0</c:v>
                </c:pt>
                <c:pt idx="1">
                  <c:v>2</c:v>
                </c:pt>
                <c:pt idx="2">
                  <c:v>4</c:v>
                </c:pt>
                <c:pt idx="3">
                  <c:v>6</c:v>
                </c:pt>
                <c:pt idx="4">
                  <c:v>8</c:v>
                </c:pt>
                <c:pt idx="5">
                  <c:v>10</c:v>
                </c:pt>
                <c:pt idx="6">
                  <c:v>15</c:v>
                </c:pt>
                <c:pt idx="7">
                  <c:v>20</c:v>
                </c:pt>
                <c:pt idx="8">
                  <c:v>25</c:v>
                </c:pt>
                <c:pt idx="9">
                  <c:v>30</c:v>
                </c:pt>
                <c:pt idx="10">
                  <c:v>35</c:v>
                </c:pt>
                <c:pt idx="11">
                  <c:v>40</c:v>
                </c:pt>
              </c:numCache>
            </c:numRef>
          </c:xVal>
          <c:yVal>
            <c:numRef>
              <c:f>'Calc.U.Uncertainty'!$DC$125:$DC$136</c:f>
              <c:numCache>
                <c:formatCode>0.000</c:formatCode>
                <c:ptCount val="12"/>
                <c:pt idx="0">
                  <c:v>1.5</c:v>
                </c:pt>
                <c:pt idx="1">
                  <c:v>0.80769230769230771</c:v>
                </c:pt>
                <c:pt idx="2">
                  <c:v>0.55263157894736847</c:v>
                </c:pt>
                <c:pt idx="3">
                  <c:v>0.4200000000000001</c:v>
                </c:pt>
                <c:pt idx="4">
                  <c:v>0.33870967741935487</c:v>
                </c:pt>
                <c:pt idx="5">
                  <c:v>0.28378378378378377</c:v>
                </c:pt>
                <c:pt idx="6">
                  <c:v>0.20192307692307693</c:v>
                </c:pt>
                <c:pt idx="7">
                  <c:v>0.15671641791044774</c:v>
                </c:pt>
                <c:pt idx="8">
                  <c:v>0.12804878048780488</c:v>
                </c:pt>
                <c:pt idx="9">
                  <c:v>0.10824742268041238</c:v>
                </c:pt>
                <c:pt idx="10">
                  <c:v>9.3750000000000028E-2</c:v>
                </c:pt>
                <c:pt idx="11">
                  <c:v>8.2677165354330714E-2</c:v>
                </c:pt>
              </c:numCache>
            </c:numRef>
          </c:yVal>
          <c:smooth val="0"/>
          <c:extLst>
            <c:ext xmlns:c16="http://schemas.microsoft.com/office/drawing/2014/chart" uri="{C3380CC4-5D6E-409C-BE32-E72D297353CC}">
              <c16:uniqueId val="{00000000-63C0-4699-99D7-F61105BE3249}"/>
            </c:ext>
          </c:extLst>
        </c:ser>
        <c:ser>
          <c:idx val="1"/>
          <c:order val="1"/>
          <c:tx>
            <c:strRef>
              <c:f>'Calc.U.Uncertainty'!$DD$1</c:f>
              <c:strCache>
                <c:ptCount val="1"/>
                <c:pt idx="0">
                  <c:v>U_Unc_Upper</c:v>
                </c:pt>
              </c:strCache>
            </c:strRef>
          </c:tx>
          <c:spPr>
            <a:ln>
              <a:solidFill>
                <a:srgbClr val="FF0000"/>
              </a:solidFill>
              <a:prstDash val="dash"/>
            </a:ln>
          </c:spPr>
          <c:marker>
            <c:symbol val="none"/>
          </c:marker>
          <c:xVal>
            <c:numRef>
              <c:f>'Calc.U.Uncertainty'!$DB$125:$DB$136</c:f>
              <c:numCache>
                <c:formatCode>General</c:formatCode>
                <c:ptCount val="12"/>
                <c:pt idx="0">
                  <c:v>0</c:v>
                </c:pt>
                <c:pt idx="1">
                  <c:v>2</c:v>
                </c:pt>
                <c:pt idx="2">
                  <c:v>4</c:v>
                </c:pt>
                <c:pt idx="3">
                  <c:v>6</c:v>
                </c:pt>
                <c:pt idx="4">
                  <c:v>8</c:v>
                </c:pt>
                <c:pt idx="5">
                  <c:v>10</c:v>
                </c:pt>
                <c:pt idx="6">
                  <c:v>15</c:v>
                </c:pt>
                <c:pt idx="7">
                  <c:v>20</c:v>
                </c:pt>
                <c:pt idx="8">
                  <c:v>25</c:v>
                </c:pt>
                <c:pt idx="9">
                  <c:v>30</c:v>
                </c:pt>
                <c:pt idx="10">
                  <c:v>35</c:v>
                </c:pt>
                <c:pt idx="11">
                  <c:v>40</c:v>
                </c:pt>
              </c:numCache>
            </c:numRef>
          </c:xVal>
          <c:yVal>
            <c:numRef>
              <c:f>'Calc.U.Uncertainty'!$DD$125:$DD$136</c:f>
              <c:numCache>
                <c:formatCode>0.000</c:formatCode>
                <c:ptCount val="12"/>
                <c:pt idx="0">
                  <c:v>1.95</c:v>
                </c:pt>
                <c:pt idx="1">
                  <c:v>0.97750216434499726</c:v>
                </c:pt>
                <c:pt idx="2">
                  <c:v>0.6713147703670822</c:v>
                </c:pt>
                <c:pt idx="3">
                  <c:v>0.51496087615434061</c:v>
                </c:pt>
                <c:pt idx="4">
                  <c:v>0.41853019008312314</c:v>
                </c:pt>
                <c:pt idx="5">
                  <c:v>0.34351990972257646</c:v>
                </c:pt>
                <c:pt idx="6">
                  <c:v>0.23792804164249676</c:v>
                </c:pt>
                <c:pt idx="7">
                  <c:v>0.18248953360100328</c:v>
                </c:pt>
                <c:pt idx="8">
                  <c:v>0.14822705700356562</c:v>
                </c:pt>
                <c:pt idx="9">
                  <c:v>0.1248994430284428</c:v>
                </c:pt>
                <c:pt idx="10">
                  <c:v>0.10796691814290579</c:v>
                </c:pt>
                <c:pt idx="11">
                  <c:v>9.5104471585414865E-2</c:v>
                </c:pt>
              </c:numCache>
            </c:numRef>
          </c:yVal>
          <c:smooth val="0"/>
          <c:extLst>
            <c:ext xmlns:c16="http://schemas.microsoft.com/office/drawing/2014/chart" uri="{C3380CC4-5D6E-409C-BE32-E72D297353CC}">
              <c16:uniqueId val="{00000001-63C0-4699-99D7-F61105BE3249}"/>
            </c:ext>
          </c:extLst>
        </c:ser>
        <c:ser>
          <c:idx val="2"/>
          <c:order val="2"/>
          <c:tx>
            <c:strRef>
              <c:f>'Calc.U.Uncertainty'!$DE$1</c:f>
              <c:strCache>
                <c:ptCount val="1"/>
                <c:pt idx="0">
                  <c:v>U_Unc_Lower</c:v>
                </c:pt>
              </c:strCache>
            </c:strRef>
          </c:tx>
          <c:spPr>
            <a:ln>
              <a:solidFill>
                <a:srgbClr val="008000"/>
              </a:solidFill>
              <a:prstDash val="dash"/>
            </a:ln>
          </c:spPr>
          <c:marker>
            <c:symbol val="none"/>
          </c:marker>
          <c:xVal>
            <c:numRef>
              <c:f>'Calc.U.Uncertainty'!$DB$125:$DB$136</c:f>
              <c:numCache>
                <c:formatCode>General</c:formatCode>
                <c:ptCount val="12"/>
                <c:pt idx="0">
                  <c:v>0</c:v>
                </c:pt>
                <c:pt idx="1">
                  <c:v>2</c:v>
                </c:pt>
                <c:pt idx="2">
                  <c:v>4</c:v>
                </c:pt>
                <c:pt idx="3">
                  <c:v>6</c:v>
                </c:pt>
                <c:pt idx="4">
                  <c:v>8</c:v>
                </c:pt>
                <c:pt idx="5">
                  <c:v>10</c:v>
                </c:pt>
                <c:pt idx="6">
                  <c:v>15</c:v>
                </c:pt>
                <c:pt idx="7">
                  <c:v>20</c:v>
                </c:pt>
                <c:pt idx="8">
                  <c:v>25</c:v>
                </c:pt>
                <c:pt idx="9">
                  <c:v>30</c:v>
                </c:pt>
                <c:pt idx="10">
                  <c:v>35</c:v>
                </c:pt>
                <c:pt idx="11">
                  <c:v>40</c:v>
                </c:pt>
              </c:numCache>
            </c:numRef>
          </c:xVal>
          <c:yVal>
            <c:numRef>
              <c:f>'Calc.U.Uncertainty'!$DE$125:$DE$136</c:f>
              <c:numCache>
                <c:formatCode>0.000</c:formatCode>
                <c:ptCount val="12"/>
                <c:pt idx="0">
                  <c:v>1.05</c:v>
                </c:pt>
                <c:pt idx="1">
                  <c:v>0.63788245103961816</c:v>
                </c:pt>
                <c:pt idx="2">
                  <c:v>0.43394838752765474</c:v>
                </c:pt>
                <c:pt idx="3">
                  <c:v>0.32503912384565958</c:v>
                </c:pt>
                <c:pt idx="4">
                  <c:v>0.2588891647555866</c:v>
                </c:pt>
                <c:pt idx="5">
                  <c:v>0.22404765784499109</c:v>
                </c:pt>
                <c:pt idx="6">
                  <c:v>0.1659181122036571</c:v>
                </c:pt>
                <c:pt idx="7">
                  <c:v>0.1309433022198922</c:v>
                </c:pt>
                <c:pt idx="8">
                  <c:v>0.10787050397204415</c:v>
                </c:pt>
                <c:pt idx="9">
                  <c:v>9.1595402332381948E-2</c:v>
                </c:pt>
                <c:pt idx="10">
                  <c:v>7.9533081857094262E-2</c:v>
                </c:pt>
                <c:pt idx="11">
                  <c:v>7.0249859123246564E-2</c:v>
                </c:pt>
              </c:numCache>
            </c:numRef>
          </c:yVal>
          <c:smooth val="0"/>
          <c:extLst>
            <c:ext xmlns:c16="http://schemas.microsoft.com/office/drawing/2014/chart" uri="{C3380CC4-5D6E-409C-BE32-E72D297353CC}">
              <c16:uniqueId val="{00000002-63C0-4699-99D7-F61105BE3249}"/>
            </c:ext>
          </c:extLst>
        </c:ser>
        <c:dLbls>
          <c:showLegendKey val="0"/>
          <c:showVal val="0"/>
          <c:showCatName val="0"/>
          <c:showSerName val="0"/>
          <c:showPercent val="0"/>
          <c:showBubbleSize val="0"/>
        </c:dLbls>
        <c:axId val="1072977792"/>
        <c:axId val="1073000832"/>
      </c:scatterChart>
      <c:scatterChart>
        <c:scatterStyle val="lineMarker"/>
        <c:varyColors val="0"/>
        <c:ser>
          <c:idx val="3"/>
          <c:order val="3"/>
          <c:tx>
            <c:strRef>
              <c:f>'Calc.U.Uncertainty'!$DF$1</c:f>
              <c:strCache>
                <c:ptCount val="1"/>
                <c:pt idx="0">
                  <c:v>Delta_RelUnc_U_Eff</c:v>
                </c:pt>
              </c:strCache>
            </c:strRef>
          </c:tx>
          <c:spPr>
            <a:ln>
              <a:solidFill>
                <a:srgbClr val="0000CC"/>
              </a:solidFill>
              <a:prstDash val="sysDot"/>
            </a:ln>
          </c:spPr>
          <c:marker>
            <c:symbol val="x"/>
            <c:size val="6"/>
            <c:spPr>
              <a:noFill/>
              <a:ln w="19050">
                <a:solidFill>
                  <a:srgbClr val="0000CC"/>
                </a:solidFill>
              </a:ln>
            </c:spPr>
          </c:marker>
          <c:xVal>
            <c:numRef>
              <c:f>'Calc.U.Uncertainty'!$DB$125:$DB$136</c:f>
              <c:numCache>
                <c:formatCode>General</c:formatCode>
                <c:ptCount val="12"/>
                <c:pt idx="0">
                  <c:v>0</c:v>
                </c:pt>
                <c:pt idx="1">
                  <c:v>2</c:v>
                </c:pt>
                <c:pt idx="2">
                  <c:v>4</c:v>
                </c:pt>
                <c:pt idx="3">
                  <c:v>6</c:v>
                </c:pt>
                <c:pt idx="4">
                  <c:v>8</c:v>
                </c:pt>
                <c:pt idx="5">
                  <c:v>10</c:v>
                </c:pt>
                <c:pt idx="6">
                  <c:v>15</c:v>
                </c:pt>
                <c:pt idx="7">
                  <c:v>20</c:v>
                </c:pt>
                <c:pt idx="8">
                  <c:v>25</c:v>
                </c:pt>
                <c:pt idx="9">
                  <c:v>30</c:v>
                </c:pt>
                <c:pt idx="10">
                  <c:v>35</c:v>
                </c:pt>
                <c:pt idx="11">
                  <c:v>40</c:v>
                </c:pt>
              </c:numCache>
            </c:numRef>
          </c:xVal>
          <c:yVal>
            <c:numRef>
              <c:f>'Calc.U.Uncertainty'!$DF$125:$DF$136</c:f>
              <c:numCache>
                <c:formatCode>"+/-"\ 0%</c:formatCode>
                <c:ptCount val="12"/>
                <c:pt idx="0">
                  <c:v>0.3</c:v>
                </c:pt>
                <c:pt idx="1">
                  <c:v>0.2102407749033299</c:v>
                </c:pt>
                <c:pt idx="2">
                  <c:v>0.21476006066424388</c:v>
                </c:pt>
                <c:pt idx="3">
                  <c:v>0.22609732417700118</c:v>
                </c:pt>
                <c:pt idx="4">
                  <c:v>0.23566056119779202</c:v>
                </c:pt>
                <c:pt idx="5">
                  <c:v>0.21049872949860279</c:v>
                </c:pt>
                <c:pt idx="6">
                  <c:v>0.17831030146760296</c:v>
                </c:pt>
                <c:pt idx="7">
                  <c:v>0.16445702393021158</c:v>
                </c:pt>
                <c:pt idx="8">
                  <c:v>0.15758273088498859</c:v>
                </c:pt>
                <c:pt idx="9">
                  <c:v>0.1538329498818049</c:v>
                </c:pt>
                <c:pt idx="10">
                  <c:v>0.15164712685766146</c:v>
                </c:pt>
                <c:pt idx="11">
                  <c:v>0.15031122774739877</c:v>
                </c:pt>
              </c:numCache>
            </c:numRef>
          </c:yVal>
          <c:smooth val="0"/>
          <c:extLst>
            <c:ext xmlns:c16="http://schemas.microsoft.com/office/drawing/2014/chart" uri="{C3380CC4-5D6E-409C-BE32-E72D297353CC}">
              <c16:uniqueId val="{00000003-63C0-4699-99D7-F61105BE3249}"/>
            </c:ext>
          </c:extLst>
        </c:ser>
        <c:dLbls>
          <c:showLegendKey val="0"/>
          <c:showVal val="0"/>
          <c:showCatName val="0"/>
          <c:showSerName val="0"/>
          <c:showPercent val="0"/>
          <c:showBubbleSize val="0"/>
        </c:dLbls>
        <c:axId val="1073004928"/>
        <c:axId val="1073002752"/>
      </c:scatterChart>
      <c:valAx>
        <c:axId val="1072977792"/>
        <c:scaling>
          <c:orientation val="minMax"/>
          <c:max val="40"/>
          <c:min val="0"/>
        </c:scaling>
        <c:delete val="0"/>
        <c:axPos val="b"/>
        <c:majorGridlines>
          <c:spPr>
            <a:ln>
              <a:solidFill>
                <a:srgbClr val="C0C0C0"/>
              </a:solidFill>
            </a:ln>
          </c:spPr>
        </c:majorGridlines>
        <c:minorGridlines>
          <c:spPr>
            <a:ln>
              <a:solidFill>
                <a:srgbClr val="EAEAEA"/>
              </a:solidFill>
            </a:ln>
          </c:spPr>
        </c:minorGridlines>
        <c:title>
          <c:tx>
            <c:rich>
              <a:bodyPr/>
              <a:lstStyle/>
              <a:p>
                <a:pPr>
                  <a:defRPr/>
                </a:pPr>
                <a:r>
                  <a:rPr lang="de-DE"/>
                  <a:t>d_Insulation [cm]</a:t>
                </a:r>
              </a:p>
            </c:rich>
          </c:tx>
          <c:overlay val="0"/>
        </c:title>
        <c:numFmt formatCode="#,##0" sourceLinked="0"/>
        <c:majorTickMark val="out"/>
        <c:minorTickMark val="none"/>
        <c:tickLblPos val="nextTo"/>
        <c:crossAx val="1073000832"/>
        <c:crosses val="autoZero"/>
        <c:crossBetween val="midCat"/>
      </c:valAx>
      <c:valAx>
        <c:axId val="1073000832"/>
        <c:scaling>
          <c:orientation val="minMax"/>
          <c:max val="3"/>
          <c:min val="0"/>
        </c:scaling>
        <c:delete val="0"/>
        <c:axPos val="l"/>
        <c:majorGridlines>
          <c:spPr>
            <a:ln>
              <a:solidFill>
                <a:srgbClr val="C0C0C0"/>
              </a:solidFill>
            </a:ln>
          </c:spPr>
        </c:majorGridlines>
        <c:minorGridlines>
          <c:spPr>
            <a:ln>
              <a:solidFill>
                <a:srgbClr val="EAEAEA"/>
              </a:solidFill>
            </a:ln>
          </c:spPr>
        </c:minorGridlines>
        <c:title>
          <c:tx>
            <c:rich>
              <a:bodyPr rot="-5400000" vert="horz"/>
              <a:lstStyle/>
              <a:p>
                <a:pPr>
                  <a:defRPr/>
                </a:pPr>
                <a:r>
                  <a:rPr lang="de-DE" baseline="0"/>
                  <a:t>U_Eff [W/(m²K)]</a:t>
                </a:r>
                <a:endParaRPr lang="de-DE"/>
              </a:p>
            </c:rich>
          </c:tx>
          <c:layout>
            <c:manualLayout>
              <c:xMode val="edge"/>
              <c:yMode val="edge"/>
              <c:x val="3.2337962962962964E-2"/>
              <c:y val="0.52124490740740737"/>
            </c:manualLayout>
          </c:layout>
          <c:overlay val="0"/>
        </c:title>
        <c:numFmt formatCode="0.0" sourceLinked="0"/>
        <c:majorTickMark val="cross"/>
        <c:minorTickMark val="out"/>
        <c:tickLblPos val="nextTo"/>
        <c:crossAx val="1072977792"/>
        <c:crosses val="autoZero"/>
        <c:crossBetween val="midCat"/>
        <c:majorUnit val="0.5"/>
        <c:minorUnit val="0.1"/>
      </c:valAx>
      <c:valAx>
        <c:axId val="1073002752"/>
        <c:scaling>
          <c:orientation val="minMax"/>
          <c:max val="1"/>
          <c:min val="-2"/>
        </c:scaling>
        <c:delete val="0"/>
        <c:axPos val="r"/>
        <c:title>
          <c:tx>
            <c:rich>
              <a:bodyPr rot="-5400000" vert="horz"/>
              <a:lstStyle/>
              <a:p>
                <a:pPr>
                  <a:defRPr/>
                </a:pPr>
                <a:r>
                  <a:rPr lang="de-DE"/>
                  <a:t>Delta_RelUnc_U_Eff</a:t>
                </a:r>
              </a:p>
            </c:rich>
          </c:tx>
          <c:layout>
            <c:manualLayout>
              <c:xMode val="edge"/>
              <c:yMode val="edge"/>
              <c:x val="0.94483425925925935"/>
              <c:y val="6.3353935185185173E-2"/>
            </c:manualLayout>
          </c:layout>
          <c:overlay val="0"/>
        </c:title>
        <c:numFmt formatCode="&quot;+/-&quot;\ 0%" sourceLinked="1"/>
        <c:majorTickMark val="out"/>
        <c:minorTickMark val="out"/>
        <c:tickLblPos val="nextTo"/>
        <c:crossAx val="1073004928"/>
        <c:crosses val="max"/>
        <c:crossBetween val="midCat"/>
        <c:majorUnit val="0.2"/>
        <c:minorUnit val="0.1"/>
      </c:valAx>
      <c:valAx>
        <c:axId val="1073004928"/>
        <c:scaling>
          <c:orientation val="minMax"/>
          <c:max val="40"/>
          <c:min val="0"/>
        </c:scaling>
        <c:delete val="0"/>
        <c:axPos val="b"/>
        <c:numFmt formatCode="General" sourceLinked="1"/>
        <c:majorTickMark val="out"/>
        <c:minorTickMark val="none"/>
        <c:tickLblPos val="none"/>
        <c:spPr>
          <a:ln w="38100" cmpd="dbl"/>
        </c:spPr>
        <c:crossAx val="1073002752"/>
        <c:crossesAt val="0"/>
        <c:crossBetween val="midCat"/>
      </c:valAx>
      <c:spPr>
        <a:solidFill>
          <a:schemeClr val="bg1"/>
        </a:solidFill>
      </c:spPr>
    </c:plotArea>
    <c:legend>
      <c:legendPos val="r"/>
      <c:layout>
        <c:manualLayout>
          <c:xMode val="edge"/>
          <c:yMode val="edge"/>
          <c:x val="0.50924560185185186"/>
          <c:y val="0.33487546296296294"/>
          <c:w val="0.30588912037037036"/>
          <c:h val="0.17150462962962959"/>
        </c:manualLayout>
      </c:layout>
      <c:overlay val="1"/>
    </c:legend>
    <c:plotVisOnly val="1"/>
    <c:dispBlanksAs val="gap"/>
    <c:showDLblsOverMax val="0"/>
  </c:chart>
  <c:spPr>
    <a:solidFill>
      <a:srgbClr val="F8F8F8"/>
    </a:solidFill>
    <a:ln>
      <a:noFill/>
    </a:ln>
  </c:spPr>
  <c:txPr>
    <a:bodyPr/>
    <a:lstStyle/>
    <a:p>
      <a:pPr>
        <a:defRPr sz="800"/>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90365796454073E-2"/>
          <c:y val="7.6240302432610124E-2"/>
          <c:w val="0.80541926840709188"/>
          <c:h val="0.92375969756738985"/>
        </c:manualLayout>
      </c:layout>
      <c:barChart>
        <c:barDir val="bar"/>
        <c:grouping val="clustered"/>
        <c:varyColors val="0"/>
        <c:ser>
          <c:idx val="0"/>
          <c:order val="0"/>
          <c:tx>
            <c:strRef>
              <c:f>'Calc.Charts'!$F$10</c:f>
              <c:strCache>
                <c:ptCount val="1"/>
                <c:pt idx="0">
                  <c:v>U_Original_CalcModel</c:v>
                </c:pt>
              </c:strCache>
            </c:strRef>
          </c:tx>
          <c:spPr>
            <a:solidFill>
              <a:srgbClr val="FF99CC"/>
            </a:solidFill>
            <a:ln>
              <a:solidFill>
                <a:srgbClr val="C0C0C0"/>
              </a:solidFill>
            </a:ln>
            <a:effectLst/>
          </c:spPr>
          <c:invertIfNegative val="0"/>
          <c:errBars>
            <c:errBarType val="both"/>
            <c:errValType val="cust"/>
            <c:noEndCap val="0"/>
            <c:plus>
              <c:numRef>
                <c:f>'Calc.Charts'!$K$11:$K$22</c:f>
                <c:numCache>
                  <c:formatCode>General</c:formatCode>
                  <c:ptCount val="12"/>
                  <c:pt idx="0">
                    <c:v>0.33</c:v>
                  </c:pt>
                  <c:pt idx="1">
                    <c:v>0.18</c:v>
                  </c:pt>
                  <c:pt idx="2">
                    <c:v>0.05</c:v>
                  </c:pt>
                  <c:pt idx="3">
                    <c:v>0.33</c:v>
                  </c:pt>
                  <c:pt idx="4">
                    <c:v>0.33</c:v>
                  </c:pt>
                  <c:pt idx="5">
                    <c:v>0.33</c:v>
                  </c:pt>
                  <c:pt idx="6">
                    <c:v>0.33</c:v>
                  </c:pt>
                  <c:pt idx="7">
                    <c:v>0.33</c:v>
                  </c:pt>
                  <c:pt idx="8">
                    <c:v>0.33</c:v>
                  </c:pt>
                  <c:pt idx="9">
                    <c:v>0.33</c:v>
                  </c:pt>
                  <c:pt idx="10">
                    <c:v>0.33</c:v>
                  </c:pt>
                  <c:pt idx="11">
                    <c:v>0.33</c:v>
                  </c:pt>
                </c:numCache>
              </c:numRef>
            </c:plus>
            <c:minus>
              <c:numRef>
                <c:f>'Calc.Charts'!$K$11:$K$22</c:f>
                <c:numCache>
                  <c:formatCode>General</c:formatCode>
                  <c:ptCount val="12"/>
                  <c:pt idx="0">
                    <c:v>0.33</c:v>
                  </c:pt>
                  <c:pt idx="1">
                    <c:v>0.18</c:v>
                  </c:pt>
                  <c:pt idx="2">
                    <c:v>0.05</c:v>
                  </c:pt>
                  <c:pt idx="3">
                    <c:v>0.33</c:v>
                  </c:pt>
                  <c:pt idx="4">
                    <c:v>0.33</c:v>
                  </c:pt>
                  <c:pt idx="5">
                    <c:v>0.33</c:v>
                  </c:pt>
                  <c:pt idx="6">
                    <c:v>0.33</c:v>
                  </c:pt>
                  <c:pt idx="7">
                    <c:v>0.33</c:v>
                  </c:pt>
                  <c:pt idx="8">
                    <c:v>0.33</c:v>
                  </c:pt>
                  <c:pt idx="9">
                    <c:v>0.33</c:v>
                  </c:pt>
                  <c:pt idx="10">
                    <c:v>0.33</c:v>
                  </c:pt>
                  <c:pt idx="11">
                    <c:v>0.33</c:v>
                  </c:pt>
                </c:numCache>
              </c:numRef>
            </c:minus>
            <c:spPr>
              <a:noFill/>
              <a:ln w="12700" cap="flat" cmpd="sng" algn="ctr">
                <a:solidFill>
                  <a:schemeClr val="tx1">
                    <a:lumMod val="65000"/>
                    <a:lumOff val="35000"/>
                  </a:schemeClr>
                </a:solidFill>
                <a:round/>
              </a:ln>
              <a:effectLst/>
            </c:spPr>
          </c:errBars>
          <c:cat>
            <c:strLit>
              <c:ptCount val="1"/>
            </c:strLit>
          </c:cat>
          <c:val>
            <c:numRef>
              <c:f>'Calc.Charts'!$F$11:$F$22</c:f>
              <c:numCache>
                <c:formatCode>0.00</c:formatCode>
                <c:ptCount val="12"/>
                <c:pt idx="0">
                  <c:v>1.1000000000000001</c:v>
                </c:pt>
                <c:pt idx="1">
                  <c:v>0.6</c:v>
                </c:pt>
                <c:pt idx="2">
                  <c:v>0.25</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numCache>
            </c:numRef>
          </c:val>
          <c:extLst>
            <c:ext xmlns:c16="http://schemas.microsoft.com/office/drawing/2014/chart" uri="{C3380CC4-5D6E-409C-BE32-E72D297353CC}">
              <c16:uniqueId val="{00000000-DCE7-4736-8014-074E8CD24A4E}"/>
            </c:ext>
          </c:extLst>
        </c:ser>
        <c:dLbls>
          <c:showLegendKey val="0"/>
          <c:showVal val="0"/>
          <c:showCatName val="0"/>
          <c:showSerName val="0"/>
          <c:showPercent val="0"/>
          <c:showBubbleSize val="0"/>
        </c:dLbls>
        <c:gapWidth val="182"/>
        <c:axId val="578588584"/>
        <c:axId val="578587272"/>
      </c:barChart>
      <c:catAx>
        <c:axId val="57858858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7272"/>
        <c:crosses val="autoZero"/>
        <c:auto val="1"/>
        <c:lblAlgn val="ctr"/>
        <c:lblOffset val="100"/>
        <c:noMultiLvlLbl val="0"/>
      </c:catAx>
      <c:valAx>
        <c:axId val="578587272"/>
        <c:scaling>
          <c:orientation val="minMax"/>
          <c:max val="1.7000000000000002"/>
          <c:min val="0"/>
        </c:scaling>
        <c:delete val="0"/>
        <c:axPos val="t"/>
        <c:majorGridlines>
          <c:spPr>
            <a:ln w="3175" cap="flat" cmpd="sng" algn="ctr">
              <a:solidFill>
                <a:srgbClr val="C0C0C0"/>
              </a:solidFill>
              <a:round/>
            </a:ln>
            <a:effectLst/>
          </c:spPr>
        </c:majorGridlines>
        <c:minorGridlines>
          <c:spPr>
            <a:ln w="3175" cap="flat" cmpd="sng" algn="ctr">
              <a:solidFill>
                <a:srgbClr val="EAEAEA"/>
              </a:solidFill>
              <a:round/>
            </a:ln>
            <a:effectLst/>
          </c:spPr>
        </c:minorGridlines>
        <c:numFmt formatCode="0.0" sourceLinked="0"/>
        <c:majorTickMark val="cross"/>
        <c:minorTickMark val="out"/>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de-DE"/>
          </a:p>
        </c:txPr>
        <c:crossAx val="578588584"/>
        <c:crosses val="autoZero"/>
        <c:crossBetween val="between"/>
        <c:majorUnit val="0.5"/>
        <c:minorUnit val="0.1"/>
      </c:valAx>
      <c:spPr>
        <a:noFill/>
        <a:ln>
          <a:noFill/>
        </a:ln>
        <a:effectLst/>
      </c:spPr>
    </c:plotArea>
    <c:plotVisOnly val="1"/>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90365796454073E-2"/>
          <c:y val="7.6240302432610124E-2"/>
          <c:w val="0.80541926840709188"/>
          <c:h val="0.92375969756738985"/>
        </c:manualLayout>
      </c:layout>
      <c:barChart>
        <c:barDir val="bar"/>
        <c:grouping val="clustered"/>
        <c:varyColors val="0"/>
        <c:ser>
          <c:idx val="0"/>
          <c:order val="0"/>
          <c:tx>
            <c:strRef>
              <c:f>'Calc.Charts'!$F$10</c:f>
              <c:strCache>
                <c:ptCount val="1"/>
                <c:pt idx="0">
                  <c:v>U_Original_CalcModel</c:v>
                </c:pt>
              </c:strCache>
            </c:strRef>
          </c:tx>
          <c:spPr>
            <a:solidFill>
              <a:srgbClr val="FF9900"/>
            </a:solidFill>
            <a:ln>
              <a:solidFill>
                <a:srgbClr val="C0C0C0"/>
              </a:solidFill>
            </a:ln>
            <a:effectLst/>
          </c:spPr>
          <c:invertIfNegative val="0"/>
          <c:errBars>
            <c:errBarType val="both"/>
            <c:errValType val="cust"/>
            <c:noEndCap val="0"/>
            <c:plus>
              <c:numRef>
                <c:f>'Calc.Charts'!$O$11:$O$22</c:f>
                <c:numCache>
                  <c:formatCode>General</c:formatCode>
                  <c:ptCount val="12"/>
                  <c:pt idx="0">
                    <c:v>0.33</c:v>
                  </c:pt>
                  <c:pt idx="1">
                    <c:v>0.18</c:v>
                  </c:pt>
                  <c:pt idx="2">
                    <c:v>0.05</c:v>
                  </c:pt>
                  <c:pt idx="3">
                    <c:v>0.11637802733394169</c:v>
                  </c:pt>
                  <c:pt idx="4">
                    <c:v>3.107379235687897E-2</c:v>
                  </c:pt>
                  <c:pt idx="5">
                    <c:v>2.0114000900774458E-2</c:v>
                  </c:pt>
                  <c:pt idx="6">
                    <c:v>1.276627784562093E-2</c:v>
                  </c:pt>
                  <c:pt idx="7">
                    <c:v>0.25952278168225701</c:v>
                  </c:pt>
                  <c:pt idx="8">
                    <c:v>1.5945310837621209E-2</c:v>
                  </c:pt>
                  <c:pt idx="9">
                    <c:v>0.35576232735259378</c:v>
                  </c:pt>
                  <c:pt idx="10">
                    <c:v>0.1330021283494664</c:v>
                  </c:pt>
                  <c:pt idx="11">
                    <c:v>0.11443209666551435</c:v>
                  </c:pt>
                </c:numCache>
              </c:numRef>
            </c:plus>
            <c:minus>
              <c:numRef>
                <c:f>'Calc.Charts'!$O$11:$O$22</c:f>
                <c:numCache>
                  <c:formatCode>General</c:formatCode>
                  <c:ptCount val="12"/>
                  <c:pt idx="0">
                    <c:v>0.33</c:v>
                  </c:pt>
                  <c:pt idx="1">
                    <c:v>0.18</c:v>
                  </c:pt>
                  <c:pt idx="2">
                    <c:v>0.05</c:v>
                  </c:pt>
                  <c:pt idx="3">
                    <c:v>0.11637802733394169</c:v>
                  </c:pt>
                  <c:pt idx="4">
                    <c:v>3.107379235687897E-2</c:v>
                  </c:pt>
                  <c:pt idx="5">
                    <c:v>2.0114000900774458E-2</c:v>
                  </c:pt>
                  <c:pt idx="6">
                    <c:v>1.276627784562093E-2</c:v>
                  </c:pt>
                  <c:pt idx="7">
                    <c:v>0.25952278168225701</c:v>
                  </c:pt>
                  <c:pt idx="8">
                    <c:v>1.5945310837621209E-2</c:v>
                  </c:pt>
                  <c:pt idx="9">
                    <c:v>0.35576232735259378</c:v>
                  </c:pt>
                  <c:pt idx="10">
                    <c:v>0.1330021283494664</c:v>
                  </c:pt>
                  <c:pt idx="11">
                    <c:v>0.11443209666551435</c:v>
                  </c:pt>
                </c:numCache>
              </c:numRef>
            </c:minus>
            <c:spPr>
              <a:noFill/>
              <a:ln w="12700" cap="flat" cmpd="sng" algn="ctr">
                <a:solidFill>
                  <a:schemeClr val="tx1">
                    <a:lumMod val="65000"/>
                    <a:lumOff val="35000"/>
                  </a:schemeClr>
                </a:solidFill>
                <a:round/>
              </a:ln>
              <a:effectLst/>
            </c:spPr>
          </c:errBars>
          <c:cat>
            <c:strLit>
              <c:ptCount val="1"/>
            </c:strLit>
          </c:cat>
          <c:val>
            <c:numRef>
              <c:f>'Calc.Charts'!$J$11:$J$22</c:f>
              <c:numCache>
                <c:formatCode>0.00</c:formatCode>
                <c:ptCount val="12"/>
                <c:pt idx="0">
                  <c:v>1.1000000000000001</c:v>
                </c:pt>
                <c:pt idx="1">
                  <c:v>0.6</c:v>
                </c:pt>
                <c:pt idx="2">
                  <c:v>0.25</c:v>
                </c:pt>
                <c:pt idx="3">
                  <c:v>0.5561797752808989</c:v>
                </c:pt>
                <c:pt idx="4">
                  <c:v>0.18246445497630331</c:v>
                </c:pt>
                <c:pt idx="5">
                  <c:v>0.18246445497630331</c:v>
                </c:pt>
                <c:pt idx="6">
                  <c:v>0.18246445497630331</c:v>
                </c:pt>
                <c:pt idx="7">
                  <c:v>0.60273972602739734</c:v>
                </c:pt>
                <c:pt idx="8">
                  <c:v>0.10547945205479453</c:v>
                </c:pt>
                <c:pt idx="9">
                  <c:v>0.57660465116279069</c:v>
                </c:pt>
                <c:pt idx="10">
                  <c:v>0.3948920863309352</c:v>
                </c:pt>
                <c:pt idx="11">
                  <c:v>0.28325</c:v>
                </c:pt>
              </c:numCache>
            </c:numRef>
          </c:val>
          <c:extLst>
            <c:ext xmlns:c16="http://schemas.microsoft.com/office/drawing/2014/chart" uri="{C3380CC4-5D6E-409C-BE32-E72D297353CC}">
              <c16:uniqueId val="{00000000-E87C-4911-88B6-E9269682318A}"/>
            </c:ext>
          </c:extLst>
        </c:ser>
        <c:dLbls>
          <c:showLegendKey val="0"/>
          <c:showVal val="0"/>
          <c:showCatName val="0"/>
          <c:showSerName val="0"/>
          <c:showPercent val="0"/>
          <c:showBubbleSize val="0"/>
        </c:dLbls>
        <c:gapWidth val="182"/>
        <c:axId val="578588584"/>
        <c:axId val="578587272"/>
      </c:barChart>
      <c:catAx>
        <c:axId val="57858858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7272"/>
        <c:crosses val="autoZero"/>
        <c:auto val="1"/>
        <c:lblAlgn val="ctr"/>
        <c:lblOffset val="100"/>
        <c:noMultiLvlLbl val="0"/>
      </c:catAx>
      <c:valAx>
        <c:axId val="578587272"/>
        <c:scaling>
          <c:orientation val="minMax"/>
          <c:max val="1.7000000000000002"/>
          <c:min val="0"/>
        </c:scaling>
        <c:delete val="0"/>
        <c:axPos val="t"/>
        <c:majorGridlines>
          <c:spPr>
            <a:ln w="0" cap="flat" cmpd="sng" algn="ctr">
              <a:solidFill>
                <a:srgbClr val="C0C0C0"/>
              </a:solidFill>
              <a:round/>
            </a:ln>
            <a:effectLst/>
          </c:spPr>
        </c:majorGridlines>
        <c:minorGridlines>
          <c:spPr>
            <a:ln w="0" cap="flat" cmpd="sng" algn="ctr">
              <a:solidFill>
                <a:srgbClr val="EAEAEA"/>
              </a:solidFill>
              <a:round/>
            </a:ln>
            <a:effectLst/>
          </c:spPr>
        </c:minorGridlines>
        <c:numFmt formatCode="0.0" sourceLinked="0"/>
        <c:majorTickMark val="cross"/>
        <c:minorTickMark val="out"/>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de-DE"/>
          </a:p>
        </c:txPr>
        <c:crossAx val="578588584"/>
        <c:crosses val="autoZero"/>
        <c:crossBetween val="between"/>
        <c:majorUnit val="0.5"/>
        <c:minorUnit val="0.1"/>
      </c:valAx>
      <c:spPr>
        <a:noFill/>
        <a:ln>
          <a:noFill/>
        </a:ln>
        <a:effectLst/>
      </c:spPr>
    </c:plotArea>
    <c:plotVisOnly val="1"/>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0062397860644"/>
          <c:y val="7.6240302432610124E-2"/>
          <c:w val="0.65349058931736093"/>
          <c:h val="0.92375969756738985"/>
        </c:manualLayout>
      </c:layout>
      <c:barChart>
        <c:barDir val="bar"/>
        <c:grouping val="clustered"/>
        <c:varyColors val="0"/>
        <c:ser>
          <c:idx val="0"/>
          <c:order val="0"/>
          <c:tx>
            <c:strRef>
              <c:f>'Calc.Charts'!$G$10</c:f>
              <c:strCache>
                <c:ptCount val="1"/>
                <c:pt idx="0">
                  <c:v>f_Insulation_CalcModel</c:v>
                </c:pt>
              </c:strCache>
            </c:strRef>
          </c:tx>
          <c:spPr>
            <a:solidFill>
              <a:srgbClr val="99FF99"/>
            </a:solidFill>
            <a:ln>
              <a:solidFill>
                <a:srgbClr val="C0C0C0"/>
              </a:solidFill>
            </a:ln>
            <a:effectLst/>
          </c:spPr>
          <c:invertIfNegative val="0"/>
          <c:errBars>
            <c:errBarType val="both"/>
            <c:errValType val="cust"/>
            <c:noEndCap val="0"/>
            <c:plus>
              <c:numRef>
                <c:f>'Calc.Charts'!$L$11:$L$22</c:f>
                <c:numCache>
                  <c:formatCode>General</c:formatCode>
                  <c:ptCount val="12"/>
                  <c:pt idx="0">
                    <c:v>0</c:v>
                  </c:pt>
                  <c:pt idx="1">
                    <c:v>0</c:v>
                  </c:pt>
                  <c:pt idx="2">
                    <c:v>0</c:v>
                  </c:pt>
                  <c:pt idx="3">
                    <c:v>0</c:v>
                  </c:pt>
                  <c:pt idx="4">
                    <c:v>0</c:v>
                  </c:pt>
                  <c:pt idx="5">
                    <c:v>0</c:v>
                  </c:pt>
                  <c:pt idx="6">
                    <c:v>0</c:v>
                  </c:pt>
                  <c:pt idx="7">
                    <c:v>0.2</c:v>
                  </c:pt>
                  <c:pt idx="8">
                    <c:v>0</c:v>
                  </c:pt>
                  <c:pt idx="9">
                    <c:v>0.38</c:v>
                  </c:pt>
                  <c:pt idx="10">
                    <c:v>9.9999999999999978E-2</c:v>
                  </c:pt>
                  <c:pt idx="11">
                    <c:v>9.9999999999999978E-2</c:v>
                  </c:pt>
                </c:numCache>
              </c:numRef>
            </c:plus>
            <c:minus>
              <c:numRef>
                <c:f>'Calc.Charts'!$L$11:$L$22</c:f>
                <c:numCache>
                  <c:formatCode>General</c:formatCode>
                  <c:ptCount val="12"/>
                  <c:pt idx="0">
                    <c:v>0</c:v>
                  </c:pt>
                  <c:pt idx="1">
                    <c:v>0</c:v>
                  </c:pt>
                  <c:pt idx="2">
                    <c:v>0</c:v>
                  </c:pt>
                  <c:pt idx="3">
                    <c:v>0</c:v>
                  </c:pt>
                  <c:pt idx="4">
                    <c:v>0</c:v>
                  </c:pt>
                  <c:pt idx="5">
                    <c:v>0</c:v>
                  </c:pt>
                  <c:pt idx="6">
                    <c:v>0</c:v>
                  </c:pt>
                  <c:pt idx="7">
                    <c:v>0.2</c:v>
                  </c:pt>
                  <c:pt idx="8">
                    <c:v>0</c:v>
                  </c:pt>
                  <c:pt idx="9">
                    <c:v>0.38</c:v>
                  </c:pt>
                  <c:pt idx="10">
                    <c:v>9.9999999999999978E-2</c:v>
                  </c:pt>
                  <c:pt idx="11">
                    <c:v>9.9999999999999978E-2</c:v>
                  </c:pt>
                </c:numCache>
              </c:numRef>
            </c:minus>
            <c:spPr>
              <a:noFill/>
              <a:ln w="12700" cap="flat" cmpd="sng" algn="ctr">
                <a:solidFill>
                  <a:schemeClr val="tx1">
                    <a:lumMod val="65000"/>
                    <a:lumOff val="35000"/>
                  </a:schemeClr>
                </a:solidFill>
                <a:round/>
              </a:ln>
              <a:effectLst/>
            </c:spPr>
          </c:errBars>
          <c:cat>
            <c:strLit>
              <c:ptCount val="1"/>
            </c:strLit>
          </c:cat>
          <c:val>
            <c:numRef>
              <c:f>'Calc.Charts'!$G$11:$G$22</c:f>
              <c:numCache>
                <c:formatCode>0.00</c:formatCode>
                <c:ptCount val="12"/>
                <c:pt idx="0">
                  <c:v>0</c:v>
                </c:pt>
                <c:pt idx="1">
                  <c:v>0</c:v>
                </c:pt>
                <c:pt idx="2">
                  <c:v>0</c:v>
                </c:pt>
                <c:pt idx="3">
                  <c:v>1</c:v>
                </c:pt>
                <c:pt idx="4">
                  <c:v>1</c:v>
                </c:pt>
                <c:pt idx="5">
                  <c:v>1</c:v>
                </c:pt>
                <c:pt idx="6">
                  <c:v>1</c:v>
                </c:pt>
                <c:pt idx="7">
                  <c:v>0.5</c:v>
                </c:pt>
                <c:pt idx="8">
                  <c:v>1</c:v>
                </c:pt>
                <c:pt idx="9">
                  <c:v>0.62</c:v>
                </c:pt>
                <c:pt idx="10">
                  <c:v>0.9</c:v>
                </c:pt>
                <c:pt idx="11">
                  <c:v>0.9</c:v>
                </c:pt>
              </c:numCache>
            </c:numRef>
          </c:val>
          <c:extLst>
            <c:ext xmlns:c16="http://schemas.microsoft.com/office/drawing/2014/chart" uri="{C3380CC4-5D6E-409C-BE32-E72D297353CC}">
              <c16:uniqueId val="{00000000-BB10-49A8-8EA6-9A85B3BA7DEF}"/>
            </c:ext>
          </c:extLst>
        </c:ser>
        <c:dLbls>
          <c:showLegendKey val="0"/>
          <c:showVal val="0"/>
          <c:showCatName val="0"/>
          <c:showSerName val="0"/>
          <c:showPercent val="0"/>
          <c:showBubbleSize val="0"/>
        </c:dLbls>
        <c:gapWidth val="182"/>
        <c:axId val="578588584"/>
        <c:axId val="578587272"/>
      </c:barChart>
      <c:catAx>
        <c:axId val="57858858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7272"/>
        <c:crosses val="autoZero"/>
        <c:auto val="1"/>
        <c:lblAlgn val="ctr"/>
        <c:lblOffset val="100"/>
        <c:noMultiLvlLbl val="0"/>
      </c:catAx>
      <c:valAx>
        <c:axId val="578587272"/>
        <c:scaling>
          <c:orientation val="minMax"/>
          <c:max val="1.08"/>
          <c:min val="0"/>
        </c:scaling>
        <c:delete val="0"/>
        <c:axPos val="t"/>
        <c:majorGridlines>
          <c:spPr>
            <a:ln w="0" cap="flat" cmpd="sng" algn="ctr">
              <a:solidFill>
                <a:srgbClr val="C0C0C0"/>
              </a:solidFill>
              <a:round/>
            </a:ln>
            <a:effectLst/>
          </c:spPr>
        </c:majorGridlines>
        <c:minorGridlines>
          <c:spPr>
            <a:ln w="0" cap="flat" cmpd="sng" algn="ctr">
              <a:solidFill>
                <a:srgbClr val="EAEAEA"/>
              </a:solidFill>
              <a:round/>
            </a:ln>
            <a:effectLst/>
          </c:spPr>
        </c:minorGridlines>
        <c:numFmt formatCode="0.0" sourceLinked="0"/>
        <c:majorTickMark val="cross"/>
        <c:minorTickMark val="out"/>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8584"/>
        <c:crosses val="autoZero"/>
        <c:crossBetween val="between"/>
        <c:majorUnit val="0.5"/>
        <c:minorUnit val="0.1"/>
      </c:valAx>
      <c:spPr>
        <a:noFill/>
        <a:ln>
          <a:noFill/>
        </a:ln>
        <a:effectLst/>
      </c:spPr>
    </c:plotArea>
    <c:plotVisOnly val="1"/>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90365796454073E-2"/>
          <c:y val="7.6240302432610124E-2"/>
          <c:w val="0.80541926840709188"/>
          <c:h val="0.92375969756738985"/>
        </c:manualLayout>
      </c:layout>
      <c:barChart>
        <c:barDir val="bar"/>
        <c:grouping val="clustered"/>
        <c:varyColors val="0"/>
        <c:ser>
          <c:idx val="0"/>
          <c:order val="0"/>
          <c:tx>
            <c:strRef>
              <c:f>'Calc.Charts'!$H$10</c:f>
              <c:strCache>
                <c:ptCount val="1"/>
                <c:pt idx="0">
                  <c:v>d_Insulation_CalcModel</c:v>
                </c:pt>
              </c:strCache>
            </c:strRef>
          </c:tx>
          <c:spPr>
            <a:solidFill>
              <a:srgbClr val="FFFF00"/>
            </a:solidFill>
            <a:ln>
              <a:solidFill>
                <a:srgbClr val="C0C0C0"/>
              </a:solidFill>
            </a:ln>
            <a:effectLst/>
          </c:spPr>
          <c:invertIfNegative val="0"/>
          <c:errBars>
            <c:errBarType val="both"/>
            <c:errValType val="cust"/>
            <c:noEndCap val="0"/>
            <c:plus>
              <c:numRef>
                <c:f>'Calc.Charts'!$M$11:$M$22</c:f>
                <c:numCache>
                  <c:formatCode>General</c:formatCode>
                  <c:ptCount val="12"/>
                  <c:pt idx="0">
                    <c:v>0</c:v>
                  </c:pt>
                  <c:pt idx="1">
                    <c:v>0</c:v>
                  </c:pt>
                  <c:pt idx="2">
                    <c:v>0</c:v>
                  </c:pt>
                  <c:pt idx="3">
                    <c:v>1</c:v>
                  </c:pt>
                  <c:pt idx="4">
                    <c:v>2</c:v>
                  </c:pt>
                  <c:pt idx="5">
                    <c:v>1</c:v>
                  </c:pt>
                  <c:pt idx="6">
                    <c:v>0.5</c:v>
                  </c:pt>
                  <c:pt idx="7">
                    <c:v>2</c:v>
                  </c:pt>
                  <c:pt idx="8">
                    <c:v>2</c:v>
                  </c:pt>
                  <c:pt idx="9">
                    <c:v>6</c:v>
                  </c:pt>
                  <c:pt idx="10">
                    <c:v>3.6</c:v>
                  </c:pt>
                  <c:pt idx="11">
                    <c:v>5</c:v>
                  </c:pt>
                </c:numCache>
              </c:numRef>
            </c:plus>
            <c:minus>
              <c:numRef>
                <c:f>'Calc.Charts'!$M$11:$M$22</c:f>
                <c:numCache>
                  <c:formatCode>General</c:formatCode>
                  <c:ptCount val="12"/>
                  <c:pt idx="0">
                    <c:v>0</c:v>
                  </c:pt>
                  <c:pt idx="1">
                    <c:v>0</c:v>
                  </c:pt>
                  <c:pt idx="2">
                    <c:v>0</c:v>
                  </c:pt>
                  <c:pt idx="3">
                    <c:v>1</c:v>
                  </c:pt>
                  <c:pt idx="4">
                    <c:v>2</c:v>
                  </c:pt>
                  <c:pt idx="5">
                    <c:v>1</c:v>
                  </c:pt>
                  <c:pt idx="6">
                    <c:v>0.5</c:v>
                  </c:pt>
                  <c:pt idx="7">
                    <c:v>2</c:v>
                  </c:pt>
                  <c:pt idx="8">
                    <c:v>2</c:v>
                  </c:pt>
                  <c:pt idx="9">
                    <c:v>6</c:v>
                  </c:pt>
                  <c:pt idx="10">
                    <c:v>3.6</c:v>
                  </c:pt>
                  <c:pt idx="11">
                    <c:v>5</c:v>
                  </c:pt>
                </c:numCache>
              </c:numRef>
            </c:minus>
            <c:spPr>
              <a:noFill/>
              <a:ln w="12700" cap="flat" cmpd="sng" algn="ctr">
                <a:solidFill>
                  <a:schemeClr val="tx1">
                    <a:lumMod val="65000"/>
                    <a:lumOff val="35000"/>
                  </a:schemeClr>
                </a:solidFill>
                <a:round/>
              </a:ln>
              <a:effectLst/>
            </c:spPr>
          </c:errBars>
          <c:cat>
            <c:strLit>
              <c:ptCount val="1"/>
            </c:strLit>
          </c:cat>
          <c:val>
            <c:numRef>
              <c:f>'Calc.Charts'!$H$11:$H$22</c:f>
              <c:numCache>
                <c:formatCode>0.0</c:formatCode>
                <c:ptCount val="12"/>
                <c:pt idx="0">
                  <c:v>0</c:v>
                </c:pt>
                <c:pt idx="1">
                  <c:v>0</c:v>
                </c:pt>
                <c:pt idx="2">
                  <c:v>0</c:v>
                </c:pt>
                <c:pt idx="3">
                  <c:v>4</c:v>
                </c:pt>
                <c:pt idx="4">
                  <c:v>16</c:v>
                </c:pt>
                <c:pt idx="5">
                  <c:v>16</c:v>
                </c:pt>
                <c:pt idx="6">
                  <c:v>16</c:v>
                </c:pt>
                <c:pt idx="7">
                  <c:v>30</c:v>
                </c:pt>
                <c:pt idx="8">
                  <c:v>30</c:v>
                </c:pt>
                <c:pt idx="9">
                  <c:v>12</c:v>
                </c:pt>
                <c:pt idx="10">
                  <c:v>9</c:v>
                </c:pt>
                <c:pt idx="11">
                  <c:v>15</c:v>
                </c:pt>
              </c:numCache>
            </c:numRef>
          </c:val>
          <c:extLst>
            <c:ext xmlns:c16="http://schemas.microsoft.com/office/drawing/2014/chart" uri="{C3380CC4-5D6E-409C-BE32-E72D297353CC}">
              <c16:uniqueId val="{00000000-A2DB-42AD-970B-E6F44B589266}"/>
            </c:ext>
          </c:extLst>
        </c:ser>
        <c:dLbls>
          <c:showLegendKey val="0"/>
          <c:showVal val="0"/>
          <c:showCatName val="0"/>
          <c:showSerName val="0"/>
          <c:showPercent val="0"/>
          <c:showBubbleSize val="0"/>
        </c:dLbls>
        <c:gapWidth val="182"/>
        <c:axId val="578588584"/>
        <c:axId val="578587272"/>
      </c:barChart>
      <c:catAx>
        <c:axId val="57858858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7272"/>
        <c:crosses val="autoZero"/>
        <c:auto val="1"/>
        <c:lblAlgn val="ctr"/>
        <c:lblOffset val="100"/>
        <c:noMultiLvlLbl val="0"/>
      </c:catAx>
      <c:valAx>
        <c:axId val="578587272"/>
        <c:scaling>
          <c:orientation val="minMax"/>
          <c:max val="41"/>
          <c:min val="0"/>
        </c:scaling>
        <c:delete val="0"/>
        <c:axPos val="t"/>
        <c:majorGridlines>
          <c:spPr>
            <a:ln w="0" cap="flat" cmpd="sng" algn="ctr">
              <a:solidFill>
                <a:srgbClr val="C0C0C0"/>
              </a:solidFill>
              <a:round/>
            </a:ln>
            <a:effectLst/>
          </c:spPr>
        </c:majorGridlines>
        <c:minorGridlines>
          <c:spPr>
            <a:ln w="0" cap="flat" cmpd="sng" algn="ctr">
              <a:solidFill>
                <a:srgbClr val="EAEAEA"/>
              </a:solidFill>
              <a:round/>
            </a:ln>
            <a:effectLst/>
          </c:spPr>
        </c:minorGridlines>
        <c:numFmt formatCode="0" sourceLinked="0"/>
        <c:majorTickMark val="cross"/>
        <c:minorTickMark val="out"/>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8584"/>
        <c:crosses val="autoZero"/>
        <c:crossBetween val="between"/>
        <c:majorUnit val="10"/>
        <c:minorUnit val="2"/>
      </c:valAx>
      <c:spPr>
        <a:noFill/>
        <a:ln>
          <a:noFill/>
        </a:ln>
        <a:effectLst/>
      </c:spPr>
    </c:plotArea>
    <c:plotVisOnly val="1"/>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5321017565112"/>
          <c:y val="7.6240302432610124E-2"/>
          <c:w val="0.55809357964869777"/>
          <c:h val="0.92375969756738985"/>
        </c:manualLayout>
      </c:layout>
      <c:barChart>
        <c:barDir val="bar"/>
        <c:grouping val="clustered"/>
        <c:varyColors val="0"/>
        <c:ser>
          <c:idx val="0"/>
          <c:order val="0"/>
          <c:tx>
            <c:strRef>
              <c:f>'Calc.Charts'!$I$10</c:f>
              <c:strCache>
                <c:ptCount val="1"/>
                <c:pt idx="0">
                  <c:v>Lambda_Insulation_CalcModel</c:v>
                </c:pt>
              </c:strCache>
            </c:strRef>
          </c:tx>
          <c:spPr>
            <a:solidFill>
              <a:srgbClr val="66FFFF"/>
            </a:solidFill>
            <a:ln>
              <a:solidFill>
                <a:srgbClr val="C0C0C0"/>
              </a:solidFill>
            </a:ln>
            <a:effectLst/>
          </c:spPr>
          <c:invertIfNegative val="0"/>
          <c:errBars>
            <c:errBarType val="both"/>
            <c:errValType val="cust"/>
            <c:noEndCap val="0"/>
            <c:plus>
              <c:numRef>
                <c:f>'Calc.Charts'!$N$11:$N$22</c:f>
                <c:numCache>
                  <c:formatCode>General</c:formatCode>
                  <c:ptCount val="12"/>
                  <c:pt idx="0">
                    <c:v>0</c:v>
                  </c:pt>
                  <c:pt idx="1">
                    <c:v>0</c:v>
                  </c:pt>
                  <c:pt idx="2">
                    <c:v>0</c:v>
                  </c:pt>
                  <c:pt idx="3">
                    <c:v>6.7499999999999999E-3</c:v>
                  </c:pt>
                  <c:pt idx="4">
                    <c:v>5.2500000000000003E-3</c:v>
                  </c:pt>
                  <c:pt idx="5">
                    <c:v>3.5000000000000005E-3</c:v>
                  </c:pt>
                  <c:pt idx="6">
                    <c:v>1.7500000000000003E-3</c:v>
                  </c:pt>
                  <c:pt idx="7">
                    <c:v>5.2500000000000003E-3</c:v>
                  </c:pt>
                  <c:pt idx="8">
                    <c:v>5.2500000000000003E-3</c:v>
                  </c:pt>
                  <c:pt idx="9">
                    <c:v>1.2E-2</c:v>
                  </c:pt>
                  <c:pt idx="10">
                    <c:v>8.0000000000000002E-3</c:v>
                  </c:pt>
                  <c:pt idx="11">
                    <c:v>7.000000000000001E-3</c:v>
                  </c:pt>
                </c:numCache>
              </c:numRef>
            </c:plus>
            <c:minus>
              <c:numRef>
                <c:f>'Calc.Charts'!$N$11:$N$22</c:f>
                <c:numCache>
                  <c:formatCode>General</c:formatCode>
                  <c:ptCount val="12"/>
                  <c:pt idx="0">
                    <c:v>0</c:v>
                  </c:pt>
                  <c:pt idx="1">
                    <c:v>0</c:v>
                  </c:pt>
                  <c:pt idx="2">
                    <c:v>0</c:v>
                  </c:pt>
                  <c:pt idx="3">
                    <c:v>6.7499999999999999E-3</c:v>
                  </c:pt>
                  <c:pt idx="4">
                    <c:v>5.2500000000000003E-3</c:v>
                  </c:pt>
                  <c:pt idx="5">
                    <c:v>3.5000000000000005E-3</c:v>
                  </c:pt>
                  <c:pt idx="6">
                    <c:v>1.7500000000000003E-3</c:v>
                  </c:pt>
                  <c:pt idx="7">
                    <c:v>5.2500000000000003E-3</c:v>
                  </c:pt>
                  <c:pt idx="8">
                    <c:v>5.2500000000000003E-3</c:v>
                  </c:pt>
                  <c:pt idx="9">
                    <c:v>1.2E-2</c:v>
                  </c:pt>
                  <c:pt idx="10">
                    <c:v>8.0000000000000002E-3</c:v>
                  </c:pt>
                  <c:pt idx="11">
                    <c:v>7.000000000000001E-3</c:v>
                  </c:pt>
                </c:numCache>
              </c:numRef>
            </c:minus>
            <c:spPr>
              <a:noFill/>
              <a:ln w="12700" cap="flat" cmpd="sng" algn="ctr">
                <a:solidFill>
                  <a:schemeClr val="tx1">
                    <a:lumMod val="65000"/>
                    <a:lumOff val="35000"/>
                  </a:schemeClr>
                </a:solidFill>
                <a:round/>
              </a:ln>
              <a:effectLst/>
            </c:spPr>
          </c:errBars>
          <c:cat>
            <c:strLit>
              <c:ptCount val="1"/>
            </c:strLit>
          </c:cat>
          <c:val>
            <c:numRef>
              <c:f>'Calc.Charts'!$I$11:$I$22</c:f>
              <c:numCache>
                <c:formatCode>0.000</c:formatCode>
                <c:ptCount val="12"/>
                <c:pt idx="0">
                  <c:v>0</c:v>
                </c:pt>
                <c:pt idx="1">
                  <c:v>0</c:v>
                </c:pt>
                <c:pt idx="2">
                  <c:v>0</c:v>
                </c:pt>
                <c:pt idx="3">
                  <c:v>4.4999999999999998E-2</c:v>
                </c:pt>
                <c:pt idx="4">
                  <c:v>3.5000000000000003E-2</c:v>
                </c:pt>
                <c:pt idx="5">
                  <c:v>3.5000000000000003E-2</c:v>
                </c:pt>
                <c:pt idx="6">
                  <c:v>3.5000000000000003E-2</c:v>
                </c:pt>
                <c:pt idx="7">
                  <c:v>3.5000000000000003E-2</c:v>
                </c:pt>
                <c:pt idx="8">
                  <c:v>3.5000000000000003E-2</c:v>
                </c:pt>
                <c:pt idx="9">
                  <c:v>0.04</c:v>
                </c:pt>
                <c:pt idx="10">
                  <c:v>0.04</c:v>
                </c:pt>
                <c:pt idx="11">
                  <c:v>3.5000000000000003E-2</c:v>
                </c:pt>
              </c:numCache>
            </c:numRef>
          </c:val>
          <c:extLst>
            <c:ext xmlns:c16="http://schemas.microsoft.com/office/drawing/2014/chart" uri="{C3380CC4-5D6E-409C-BE32-E72D297353CC}">
              <c16:uniqueId val="{00000000-BBC6-4F14-AF0B-0607820CCD36}"/>
            </c:ext>
          </c:extLst>
        </c:ser>
        <c:dLbls>
          <c:showLegendKey val="0"/>
          <c:showVal val="0"/>
          <c:showCatName val="0"/>
          <c:showSerName val="0"/>
          <c:showPercent val="0"/>
          <c:showBubbleSize val="0"/>
        </c:dLbls>
        <c:gapWidth val="182"/>
        <c:axId val="578588584"/>
        <c:axId val="578587272"/>
      </c:barChart>
      <c:catAx>
        <c:axId val="57858858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7272"/>
        <c:crosses val="autoZero"/>
        <c:auto val="1"/>
        <c:lblAlgn val="ctr"/>
        <c:lblOffset val="100"/>
        <c:noMultiLvlLbl val="0"/>
      </c:catAx>
      <c:valAx>
        <c:axId val="578587272"/>
        <c:scaling>
          <c:orientation val="minMax"/>
          <c:max val="8.0000000000000016E-2"/>
          <c:min val="0"/>
        </c:scaling>
        <c:delete val="0"/>
        <c:axPos val="t"/>
        <c:majorGridlines>
          <c:spPr>
            <a:ln w="0" cap="flat" cmpd="sng" algn="ctr">
              <a:solidFill>
                <a:srgbClr val="C0C0C0"/>
              </a:solidFill>
              <a:round/>
            </a:ln>
            <a:effectLst/>
          </c:spPr>
        </c:majorGridlines>
        <c:minorGridlines>
          <c:spPr>
            <a:ln w="0" cap="flat" cmpd="sng" algn="ctr">
              <a:solidFill>
                <a:srgbClr val="EAEAEA"/>
              </a:solidFill>
              <a:round/>
            </a:ln>
            <a:effectLst/>
          </c:spPr>
        </c:minorGridlines>
        <c:numFmt formatCode="0.00" sourceLinked="0"/>
        <c:majorTickMark val="cross"/>
        <c:minorTickMark val="out"/>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78588584"/>
        <c:crosses val="autoZero"/>
        <c:crossBetween val="between"/>
        <c:majorUnit val="5.000000000000001E-2"/>
      </c:valAx>
      <c:spPr>
        <a:noFill/>
        <a:ln>
          <a:noFill/>
        </a:ln>
        <a:effectLst/>
      </c:spPr>
    </c:plotArea>
    <c:plotVisOnly val="1"/>
    <c:dispBlanksAs val="gap"/>
    <c:showDLblsOverMax val="0"/>
  </c:chart>
  <c:spPr>
    <a:no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13623</xdr:colOff>
      <xdr:row>176</xdr:row>
      <xdr:rowOff>22164</xdr:rowOff>
    </xdr:from>
    <xdr:to>
      <xdr:col>4</xdr:col>
      <xdr:colOff>242457</xdr:colOff>
      <xdr:row>178</xdr:row>
      <xdr:rowOff>145472</xdr:rowOff>
    </xdr:to>
    <xdr:grpSp>
      <xdr:nvGrpSpPr>
        <xdr:cNvPr id="5" name="Gruppieren 4">
          <a:extLst>
            <a:ext uri="{FF2B5EF4-FFF2-40B4-BE49-F238E27FC236}">
              <a16:creationId xmlns:a16="http://schemas.microsoft.com/office/drawing/2014/main" id="{6FAB0E1C-BCF5-4691-9156-BC6F4892759D}"/>
            </a:ext>
          </a:extLst>
        </xdr:cNvPr>
        <xdr:cNvGrpSpPr>
          <a:grpSpLocks noChangeAspect="1"/>
        </xdr:cNvGrpSpPr>
      </xdr:nvGrpSpPr>
      <xdr:grpSpPr>
        <a:xfrm>
          <a:off x="413673" y="26215914"/>
          <a:ext cx="752709" cy="466208"/>
          <a:chOff x="373232" y="357554"/>
          <a:chExt cx="902866" cy="539261"/>
        </a:xfrm>
      </xdr:grpSpPr>
      <xdr:pic>
        <xdr:nvPicPr>
          <xdr:cNvPr id="3" name="Picture 1" descr="TABULA Logo small">
            <a:extLst>
              <a:ext uri="{FF2B5EF4-FFF2-40B4-BE49-F238E27FC236}">
                <a16:creationId xmlns:a16="http://schemas.microsoft.com/office/drawing/2014/main" id="{780A7830-04E5-4222-9EC9-F2D5982BDB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232" y="357554"/>
            <a:ext cx="902866" cy="53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feld 3">
            <a:extLst>
              <a:ext uri="{FF2B5EF4-FFF2-40B4-BE49-F238E27FC236}">
                <a16:creationId xmlns:a16="http://schemas.microsoft.com/office/drawing/2014/main" id="{87FEFAF2-344A-403D-A9FA-DAEAB217C8DB}"/>
              </a:ext>
            </a:extLst>
          </xdr:cNvPr>
          <xdr:cNvSpPr txBox="1"/>
        </xdr:nvSpPr>
        <xdr:spPr>
          <a:xfrm>
            <a:off x="702551" y="734452"/>
            <a:ext cx="469172" cy="10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de-DE" sz="700" b="0">
                <a:solidFill>
                  <a:schemeClr val="bg1"/>
                </a:solidFill>
                <a:latin typeface="Comic Sans MS" panose="030F0702030302020204" pitchFamily="66" charset="0"/>
              </a:rPr>
              <a:t>Method</a:t>
            </a:r>
          </a:p>
        </xdr:txBody>
      </xdr:sp>
    </xdr:grpSp>
    <xdr:clientData/>
  </xdr:twoCellAnchor>
  <xdr:twoCellAnchor editAs="oneCell">
    <xdr:from>
      <xdr:col>19</xdr:col>
      <xdr:colOff>228861</xdr:colOff>
      <xdr:row>4</xdr:row>
      <xdr:rowOff>103213</xdr:rowOff>
    </xdr:from>
    <xdr:to>
      <xdr:col>21</xdr:col>
      <xdr:colOff>7620</xdr:colOff>
      <xdr:row>5</xdr:row>
      <xdr:rowOff>71796</xdr:rowOff>
    </xdr:to>
    <xdr:pic>
      <xdr:nvPicPr>
        <xdr:cNvPr id="2" name="Picture 378" descr="IWU_Logo2011_klein_nur_Bildmark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065781" y="712813"/>
          <a:ext cx="434079" cy="15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75</xdr:row>
      <xdr:rowOff>0</xdr:rowOff>
    </xdr:from>
    <xdr:to>
      <xdr:col>21</xdr:col>
      <xdr:colOff>0</xdr:colOff>
      <xdr:row>104</xdr:row>
      <xdr:rowOff>0</xdr:rowOff>
    </xdr:to>
    <xdr:sp macro="" textlink="">
      <xdr:nvSpPr>
        <xdr:cNvPr id="7" name="Textfeld 6">
          <a:extLst>
            <a:ext uri="{FF2B5EF4-FFF2-40B4-BE49-F238E27FC236}">
              <a16:creationId xmlns:a16="http://schemas.microsoft.com/office/drawing/2014/main" id="{FA73700D-0BC8-4B8E-BC58-146091C93FE2}"/>
            </a:ext>
          </a:extLst>
        </xdr:cNvPr>
        <xdr:cNvSpPr txBox="1"/>
      </xdr:nvSpPr>
      <xdr:spPr>
        <a:xfrm>
          <a:off x="396240" y="11727180"/>
          <a:ext cx="6096000" cy="379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000" tIns="0" rIns="0" bIns="0" rtlCol="0" anchor="t"/>
        <a:lstStyle/>
        <a:p>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The insulation state of the different parts of the building envelope is the most relevant factor for the energy consumption of residential</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buildings in central and northern</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Europe</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Therefore,</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insulation upgrade is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the primary leverage of building stock refurbishment to achieve climeate protection targets. </a:t>
          </a:r>
        </a:p>
        <a:p>
          <a:endPar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However, major</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challenges are to be faced when an assessment of the existing state and a prognosis of the possible energy savings for non-refurbished buildings is demanded - </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in the context of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single building energy consultancy</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as well as of building stock assessment on the basis of survey data.</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The challenges are:  </a:t>
          </a:r>
        </a:p>
        <a:p>
          <a:endPar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171450" indent="-171450">
            <a:buFont typeface="Arial" panose="020B0604020202020204" pitchFamily="34" charset="0"/>
            <a:buChar char="•"/>
          </a:pP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Existing constructions cannot be tested non-destructively. Details of materials from the construction period are only rarely known. </a:t>
          </a:r>
        </a:p>
        <a:p>
          <a:pPr marL="171450" indent="-171450">
            <a:buFont typeface="Arial" panose="020B0604020202020204" pitchFamily="34" charset="0"/>
            <a:buChar char="•"/>
          </a:pPr>
          <a:endPar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171450" indent="-171450">
            <a:buFont typeface="Arial" panose="020B0604020202020204" pitchFamily="34" charset="0"/>
            <a:buChar char="•"/>
          </a:pP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Even if information about materials is available (e.g. documentation</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from the time of construction)</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their actual thermal conductivity can only be guessed. (Destructive)</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material testing in laboratory is out of question (far too expensive).</a:t>
          </a:r>
          <a:b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p>
        <a:p>
          <a:pPr marL="171450" indent="-171450">
            <a:buFont typeface="Arial" panose="020B0604020202020204" pitchFamily="34" charset="0"/>
            <a:buChar char="•"/>
          </a:pP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The thermal transmittance of poorly insulated components is strongly dependent on included cavities / air layers, wooden beams and boards, but also on the external and internal heat transfer coefficients (bordering sheds, façade greenery, thick bushes, close buildings etc. at the outside; shelves, wardrobes, curtains, etc. at the inside). In practice there is a large range of variation of these effects and they can practically hardly be determined for a given building. </a:t>
          </a:r>
        </a:p>
        <a:p>
          <a:endPar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All this has a great influence only for non-refurbished elements. When thermal insulation is applied the factors mentioned above are reduced - for large insulation thicknesses they practically disappear. For insulated constructions</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the dominant influence on the amount and the uncertainty of the transmission losses is the insulation thickness and its thermal conductivity. </a:t>
          </a:r>
        </a:p>
        <a:p>
          <a:endPar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0</xdr:colOff>
      <xdr:row>107</xdr:row>
      <xdr:rowOff>131617</xdr:rowOff>
    </xdr:from>
    <xdr:to>
      <xdr:col>21</xdr:col>
      <xdr:colOff>0</xdr:colOff>
      <xdr:row>139</xdr:row>
      <xdr:rowOff>0</xdr:rowOff>
    </xdr:to>
    <xdr:sp macro="" textlink="">
      <xdr:nvSpPr>
        <xdr:cNvPr id="8" name="Textfeld 7">
          <a:extLst>
            <a:ext uri="{FF2B5EF4-FFF2-40B4-BE49-F238E27FC236}">
              <a16:creationId xmlns:a16="http://schemas.microsoft.com/office/drawing/2014/main" id="{9F98E0F5-72FA-4AF7-932E-6EE2A8062AC1}"/>
            </a:ext>
          </a:extLst>
        </xdr:cNvPr>
        <xdr:cNvSpPr txBox="1"/>
      </xdr:nvSpPr>
      <xdr:spPr>
        <a:xfrm>
          <a:off x="401782" y="6608617"/>
          <a:ext cx="6061363" cy="4080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000" tIns="0" rIns="0" bIns="0" rtlCol="0" anchor="t"/>
        <a:lstStyle/>
        <a:p>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Facing this situation, it seems to be hopeless trying to determine accurate U-values for existing buildings and thus to accurately predict the</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energy use for heating. In</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consequence</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an uncertainty approach is needed based on a physical model, assigning ranges to all input quantities, providing a handling of</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missing information and taking into account measurable,</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empirical information as far as available</a:t>
          </a:r>
          <a:r>
            <a:rPr lang="en-GB" sz="10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The proposed assessment procedure is based on the following concept (for details see [1]): </a:t>
          </a:r>
        </a:p>
        <a:p>
          <a:endParaRPr lang="de-DE"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171450" lvl="0" indent="-171450">
            <a:buFont typeface="Arial" panose="020B0604020202020204" pitchFamily="34" charset="0"/>
            <a:buChar char="•"/>
          </a:pP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Original U-value: The variety of constructions as-built was analysed in the framework of [5] by use of regional building typologies (information material with showcase examples, usually developed by regional energy consultants). Average values and standard deviations were provided for all German building age bands. </a:t>
          </a:r>
        </a:p>
        <a:p>
          <a:pPr marL="171450" lvl="0" indent="-171450">
            <a:buFont typeface="Arial" panose="020B0604020202020204" pitchFamily="34" charset="0"/>
            <a:buChar char="•"/>
          </a:pPr>
          <a:endParaRPr lang="de-DE"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171450" lvl="0" indent="-171450">
            <a:buFont typeface="Arial" panose="020B0604020202020204" pitchFamily="34" charset="0"/>
            <a:buChar char="•"/>
          </a:pP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Additional thermal resistance: In the case of a later insulation upgrade, an additional thermal resistance is calculated based on the area proportion of the insulation, the insulation thickness and the thermal conductivity of the insulation. The uncertainty of these input values depends on the data source type (files of building owner, on-site inspection, refurbishment planning, planning including quality assurance).</a:t>
          </a:r>
        </a:p>
        <a:p>
          <a:pPr marL="171450" lvl="0" indent="-171450">
            <a:buFont typeface="Arial" panose="020B0604020202020204" pitchFamily="34" charset="0"/>
            <a:buChar char="•"/>
          </a:pPr>
          <a:endParaRPr lang="de-DE"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marL="171450" lvl="0" indent="-171450">
            <a:buFont typeface="Arial" panose="020B0604020202020204" pitchFamily="34" charset="0"/>
            <a:buChar char="•"/>
          </a:pPr>
          <a:r>
            <a:rPr lang="en-GB"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If information is missing for one or more of these three variables, default values ​​are used that represent the average of the German residential building stock. Here the information from the two random sample elevations of the German housing stock was used [3] [4]. The use of average or typical values as a substitute for missing entries always leads to an increase in the uncertainty of this input data. In consequence, also the expected range of energy consumption will increase. </a:t>
          </a:r>
          <a:endParaRPr lang="de-DE" sz="10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r>
            <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The resulting U-value is calculated as follows:</a:t>
          </a:r>
          <a:br>
            <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br>
          <a:r>
            <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U_Effective=(1–f_Insulation)·U_Original+f_Insulation·(1/(1/U_Original+d_Insulation/Lambda_Insulation)) </a:t>
          </a:r>
        </a:p>
        <a:p>
          <a:endPar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r>
            <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In the sheet "Tab.Charts"</a:t>
          </a:r>
          <a:r>
            <a:rPr lang="de-DE"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the simplified estimation of the U-value and of its uncertainty is demonstrated for several scenarios of a construction element (top ceiling) of several example buildings</a:t>
          </a:r>
          <a:r>
            <a:rPr lang="de-DE"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(to be published in [2]). </a:t>
          </a:r>
        </a:p>
        <a:p>
          <a:endPar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de-DE" sz="10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200890</xdr:colOff>
      <xdr:row>12</xdr:row>
      <xdr:rowOff>0</xdr:rowOff>
    </xdr:from>
    <xdr:to>
      <xdr:col>20</xdr:col>
      <xdr:colOff>325580</xdr:colOff>
      <xdr:row>14</xdr:row>
      <xdr:rowOff>1</xdr:rowOff>
    </xdr:to>
    <xdr:sp macro="" textlink="">
      <xdr:nvSpPr>
        <xdr:cNvPr id="9" name="Textfeld 8">
          <a:extLst>
            <a:ext uri="{FF2B5EF4-FFF2-40B4-BE49-F238E27FC236}">
              <a16:creationId xmlns:a16="http://schemas.microsoft.com/office/drawing/2014/main" id="{BF35B774-3C44-40F1-ABCB-A16A8C9B0219}"/>
            </a:ext>
          </a:extLst>
        </xdr:cNvPr>
        <xdr:cNvSpPr txBox="1"/>
      </xdr:nvSpPr>
      <xdr:spPr>
        <a:xfrm>
          <a:off x="401781" y="1766455"/>
          <a:ext cx="6061363" cy="33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000" tIns="0" rIns="0" bIns="0" rtlCol="0" anchor="t"/>
        <a:lstStyle/>
        <a:p>
          <a:r>
            <a:rPr lang="en-GB" sz="10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The workbook contains a method for simplified U-value estimation and uncertainty assessment for opaque constructions by use of survey data. A</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description of the model can be found in [1], the background is explained below</a:t>
          </a:r>
          <a:r>
            <a:rPr lang="en-GB" sz="10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The workbook is designed to trace the calculation steps and to showcase the effects. It can also be used for own calculations in the context</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of building stock assessment</a:t>
          </a:r>
          <a:r>
            <a:rPr lang="en-GB" sz="10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t>
          </a:r>
        </a:p>
      </xdr:txBody>
    </xdr:sp>
    <xdr:clientData/>
  </xdr:twoCellAnchor>
  <xdr:twoCellAnchor>
    <xdr:from>
      <xdr:col>2</xdr:col>
      <xdr:colOff>0</xdr:colOff>
      <xdr:row>144</xdr:row>
      <xdr:rowOff>0</xdr:rowOff>
    </xdr:from>
    <xdr:to>
      <xdr:col>22</xdr:col>
      <xdr:colOff>0</xdr:colOff>
      <xdr:row>148</xdr:row>
      <xdr:rowOff>0</xdr:rowOff>
    </xdr:to>
    <xdr:sp macro="" textlink="">
      <xdr:nvSpPr>
        <xdr:cNvPr id="10" name="Textfeld 9">
          <a:extLst>
            <a:ext uri="{FF2B5EF4-FFF2-40B4-BE49-F238E27FC236}">
              <a16:creationId xmlns:a16="http://schemas.microsoft.com/office/drawing/2014/main" id="{AC7E0918-B222-4FDA-B0E2-5C4C21222B63}"/>
            </a:ext>
          </a:extLst>
        </xdr:cNvPr>
        <xdr:cNvSpPr txBox="1"/>
      </xdr:nvSpPr>
      <xdr:spPr>
        <a:xfrm>
          <a:off x="401782" y="11083636"/>
          <a:ext cx="6386945" cy="52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000" tIns="0" rIns="0" bIns="0" rtlCol="0" anchor="t"/>
        <a:lstStyle/>
        <a:p>
          <a:r>
            <a:rPr lang="de-DE" sz="1000">
              <a:solidFill>
                <a:sysClr val="windowText" lastClr="000000"/>
              </a:solidFill>
              <a:latin typeface="Tahoma" panose="020B0604030504040204" pitchFamily="34" charset="0"/>
              <a:ea typeface="Tahoma" panose="020B0604030504040204" pitchFamily="34" charset="0"/>
              <a:cs typeface="Tahoma" panose="020B0604030504040204" pitchFamily="34" charset="0"/>
            </a:rPr>
            <a:t>A description of the foundations of the </a:t>
          </a:r>
          <a:r>
            <a:rPr lang="de-DE"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U-values assessment method and its application for target/actual comparison and energy benchmarking for housing stock subsets can be found in [1] (in German language). A summary of the concept and experiences made in the mentioned implementation is given in [2] (in English language).</a:t>
          </a:r>
          <a:endParaRPr lang="de-DE"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2</xdr:col>
      <xdr:colOff>0</xdr:colOff>
      <xdr:row>185</xdr:row>
      <xdr:rowOff>55394</xdr:rowOff>
    </xdr:from>
    <xdr:to>
      <xdr:col>7</xdr:col>
      <xdr:colOff>0</xdr:colOff>
      <xdr:row>192</xdr:row>
      <xdr:rowOff>145474</xdr:rowOff>
    </xdr:to>
    <xdr:pic>
      <xdr:nvPicPr>
        <xdr:cNvPr id="11" name="Grafik 10">
          <a:extLst>
            <a:ext uri="{FF2B5EF4-FFF2-40B4-BE49-F238E27FC236}">
              <a16:creationId xmlns:a16="http://schemas.microsoft.com/office/drawing/2014/main" id="{D4D12D08-02AA-43D9-9EB8-999622D4A3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1782" y="28429503"/>
          <a:ext cx="1503218" cy="1253861"/>
        </a:xfrm>
        <a:prstGeom prst="rect">
          <a:avLst/>
        </a:prstGeom>
      </xdr:spPr>
    </xdr:pic>
    <xdr:clientData/>
  </xdr:twoCellAnchor>
  <xdr:twoCellAnchor editAs="oneCell">
    <xdr:from>
      <xdr:col>8</xdr:col>
      <xdr:colOff>0</xdr:colOff>
      <xdr:row>178</xdr:row>
      <xdr:rowOff>0</xdr:rowOff>
    </xdr:from>
    <xdr:to>
      <xdr:col>9</xdr:col>
      <xdr:colOff>68340</xdr:colOff>
      <xdr:row>178</xdr:row>
      <xdr:rowOff>138176</xdr:rowOff>
    </xdr:to>
    <xdr:pic>
      <xdr:nvPicPr>
        <xdr:cNvPr id="12" name="Picture 378" descr="IWU_Logo2011_klein_nur_Bildmarke">
          <a:extLst>
            <a:ext uri="{FF2B5EF4-FFF2-40B4-BE49-F238E27FC236}">
              <a16:creationId xmlns:a16="http://schemas.microsoft.com/office/drawing/2014/main" id="{84C7F341-3508-4753-9E6C-EBCD6FB28A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232660" y="25222200"/>
          <a:ext cx="396000" cy="1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110</xdr:col>
      <xdr:colOff>609599</xdr:colOff>
      <xdr:row>113</xdr:row>
      <xdr:rowOff>0</xdr:rowOff>
    </xdr:from>
    <xdr:to>
      <xdr:col>118</xdr:col>
      <xdr:colOff>52799</xdr:colOff>
      <xdr:row>123</xdr:row>
      <xdr:rowOff>143211</xdr:rowOff>
    </xdr:to>
    <xdr:graphicFrame macro="">
      <xdr:nvGraphicFramePr>
        <xdr:cNvPr id="9" name="Diagramm 1">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111</xdr:col>
      <xdr:colOff>0</xdr:colOff>
      <xdr:row>124</xdr:row>
      <xdr:rowOff>0</xdr:rowOff>
    </xdr:from>
    <xdr:ext cx="4320000" cy="4320000"/>
    <xdr:graphicFrame macro="">
      <xdr:nvGraphicFramePr>
        <xdr:cNvPr id="10" name="Diagramm 1">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1</xdr:col>
      <xdr:colOff>583950</xdr:colOff>
      <xdr:row>138</xdr:row>
      <xdr:rowOff>0</xdr:rowOff>
    </xdr:from>
    <xdr:to>
      <xdr:col>2</xdr:col>
      <xdr:colOff>0</xdr:colOff>
      <xdr:row>183</xdr:row>
      <xdr:rowOff>0</xdr:rowOff>
    </xdr:to>
    <xdr:sp macro="" textlink="">
      <xdr:nvSpPr>
        <xdr:cNvPr id="2" name="Textfeld 1">
          <a:extLst>
            <a:ext uri="{FF2B5EF4-FFF2-40B4-BE49-F238E27FC236}">
              <a16:creationId xmlns:a16="http://schemas.microsoft.com/office/drawing/2014/main" id="{5EBAE250-B77B-4F40-8063-5135D19E2602}"/>
            </a:ext>
          </a:extLst>
        </xdr:cNvPr>
        <xdr:cNvSpPr txBox="1"/>
      </xdr:nvSpPr>
      <xdr:spPr>
        <a:xfrm>
          <a:off x="1707900" y="21421725"/>
          <a:ext cx="540000" cy="18430875"/>
        </a:xfrm>
        <a:prstGeom prst="rect">
          <a:avLst/>
        </a:prstGeom>
        <a:no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vert270" wrap="square" tIns="216000" rtlCol="0" anchor="ctr" anchorCtr="0"/>
        <a:lstStyle/>
        <a:p>
          <a:pPr algn="r"/>
          <a:r>
            <a:rPr lang="de-DE" sz="1100" b="1">
              <a:solidFill>
                <a:srgbClr val="FF0000"/>
              </a:solidFill>
            </a:rPr>
            <a:t>All</a:t>
          </a:r>
          <a:r>
            <a:rPr lang="de-DE" sz="1100" b="1" baseline="0">
              <a:solidFill>
                <a:srgbClr val="FF0000"/>
              </a:solidFill>
            </a:rPr>
            <a:t> variations (main part)</a:t>
          </a:r>
          <a:endParaRPr lang="de-DE" sz="1100" b="1">
            <a:solidFill>
              <a:srgbClr val="FF0000"/>
            </a:solidFill>
          </a:endParaRPr>
        </a:p>
      </xdr:txBody>
    </xdr:sp>
    <xdr:clientData/>
  </xdr:twoCellAnchor>
  <xdr:twoCellAnchor>
    <xdr:from>
      <xdr:col>1</xdr:col>
      <xdr:colOff>583950</xdr:colOff>
      <xdr:row>183</xdr:row>
      <xdr:rowOff>0</xdr:rowOff>
    </xdr:from>
    <xdr:to>
      <xdr:col>2</xdr:col>
      <xdr:colOff>0</xdr:colOff>
      <xdr:row>216</xdr:row>
      <xdr:rowOff>0</xdr:rowOff>
    </xdr:to>
    <xdr:sp macro="" textlink="">
      <xdr:nvSpPr>
        <xdr:cNvPr id="14" name="Textfeld 13">
          <a:extLst>
            <a:ext uri="{FF2B5EF4-FFF2-40B4-BE49-F238E27FC236}">
              <a16:creationId xmlns:a16="http://schemas.microsoft.com/office/drawing/2014/main" id="{191C35F1-9362-45F4-A798-3E6CD3CA2F81}"/>
            </a:ext>
          </a:extLst>
        </xdr:cNvPr>
        <xdr:cNvSpPr txBox="1"/>
      </xdr:nvSpPr>
      <xdr:spPr>
        <a:xfrm>
          <a:off x="1707900" y="40671750"/>
          <a:ext cx="540000" cy="13515975"/>
        </a:xfrm>
        <a:prstGeom prst="rect">
          <a:avLst/>
        </a:prstGeom>
        <a:no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vert270" wrap="square" tIns="216000" rtlCol="0" anchor="ctr" anchorCtr="0"/>
        <a:lstStyle/>
        <a:p>
          <a:pPr algn="r"/>
          <a:r>
            <a:rPr lang="de-DE" sz="1100" b="1">
              <a:solidFill>
                <a:srgbClr val="FF0000"/>
              </a:solidFill>
            </a:rPr>
            <a:t>Area fraction of insulation</a:t>
          </a:r>
          <a:r>
            <a:rPr lang="de-DE" sz="1100" b="1" baseline="0">
              <a:solidFill>
                <a:srgbClr val="FF0000"/>
              </a:solidFill>
            </a:rPr>
            <a:t> = 80%</a:t>
          </a:r>
          <a:endParaRPr lang="de-DE" sz="1100" b="1">
            <a:solidFill>
              <a:srgbClr val="FF0000"/>
            </a:solidFill>
          </a:endParaRPr>
        </a:p>
      </xdr:txBody>
    </xdr:sp>
    <xdr:clientData/>
  </xdr:twoCellAnchor>
  <xdr:twoCellAnchor>
    <xdr:from>
      <xdr:col>1</xdr:col>
      <xdr:colOff>583950</xdr:colOff>
      <xdr:row>216</xdr:row>
      <xdr:rowOff>0</xdr:rowOff>
    </xdr:from>
    <xdr:to>
      <xdr:col>2</xdr:col>
      <xdr:colOff>0</xdr:colOff>
      <xdr:row>249</xdr:row>
      <xdr:rowOff>0</xdr:rowOff>
    </xdr:to>
    <xdr:sp macro="" textlink="">
      <xdr:nvSpPr>
        <xdr:cNvPr id="15" name="Textfeld 14">
          <a:extLst>
            <a:ext uri="{FF2B5EF4-FFF2-40B4-BE49-F238E27FC236}">
              <a16:creationId xmlns:a16="http://schemas.microsoft.com/office/drawing/2014/main" id="{E89D625F-C1C7-49D5-8FF8-0D40B0BE075D}"/>
            </a:ext>
          </a:extLst>
        </xdr:cNvPr>
        <xdr:cNvSpPr txBox="1"/>
      </xdr:nvSpPr>
      <xdr:spPr>
        <a:xfrm>
          <a:off x="1707900" y="55006875"/>
          <a:ext cx="540000" cy="13515975"/>
        </a:xfrm>
        <a:prstGeom prst="rect">
          <a:avLst/>
        </a:prstGeom>
        <a:no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vert270" wrap="square" tIns="216000" rtlCol="0" anchor="ctr" anchorCtr="0"/>
        <a:lstStyle/>
        <a:p>
          <a:pPr algn="r"/>
          <a:r>
            <a:rPr lang="de-DE" sz="1100" b="1">
              <a:solidFill>
                <a:srgbClr val="FF0000"/>
              </a:solidFill>
            </a:rPr>
            <a:t>Area fraction of insulation</a:t>
          </a:r>
          <a:r>
            <a:rPr lang="de-DE" sz="1100" b="1" baseline="0">
              <a:solidFill>
                <a:srgbClr val="FF0000"/>
              </a:solidFill>
            </a:rPr>
            <a:t> = 50%</a:t>
          </a:r>
          <a:endParaRPr lang="de-DE" sz="1100" b="1">
            <a:solidFill>
              <a:srgbClr val="FF0000"/>
            </a:solidFill>
          </a:endParaRPr>
        </a:p>
      </xdr:txBody>
    </xdr:sp>
    <xdr:clientData/>
  </xdr:twoCellAnchor>
  <xdr:twoCellAnchor>
    <xdr:from>
      <xdr:col>1</xdr:col>
      <xdr:colOff>583950</xdr:colOff>
      <xdr:row>249</xdr:row>
      <xdr:rowOff>0</xdr:rowOff>
    </xdr:from>
    <xdr:to>
      <xdr:col>2</xdr:col>
      <xdr:colOff>0</xdr:colOff>
      <xdr:row>259</xdr:row>
      <xdr:rowOff>0</xdr:rowOff>
    </xdr:to>
    <xdr:sp macro="" textlink="">
      <xdr:nvSpPr>
        <xdr:cNvPr id="16" name="Textfeld 15">
          <a:extLst>
            <a:ext uri="{FF2B5EF4-FFF2-40B4-BE49-F238E27FC236}">
              <a16:creationId xmlns:a16="http://schemas.microsoft.com/office/drawing/2014/main" id="{48B5C6C0-9B6B-485F-91A3-4AB81C862468}"/>
            </a:ext>
          </a:extLst>
        </xdr:cNvPr>
        <xdr:cNvSpPr txBox="1"/>
      </xdr:nvSpPr>
      <xdr:spPr>
        <a:xfrm>
          <a:off x="1707900" y="69342000"/>
          <a:ext cx="540000" cy="4095750"/>
        </a:xfrm>
        <a:prstGeom prst="rect">
          <a:avLst/>
        </a:prstGeom>
        <a:no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vert270" wrap="square" tIns="216000" rtlCol="0" anchor="ctr" anchorCtr="0"/>
        <a:lstStyle/>
        <a:p>
          <a:pPr algn="r"/>
          <a:r>
            <a:rPr lang="de-DE" sz="1100" b="1">
              <a:solidFill>
                <a:srgbClr val="FF0000"/>
              </a:solidFill>
            </a:rPr>
            <a:t>Insulation</a:t>
          </a:r>
          <a:r>
            <a:rPr lang="de-DE" sz="1100" b="1" baseline="0">
              <a:solidFill>
                <a:srgbClr val="FF0000"/>
              </a:solidFill>
            </a:rPr>
            <a:t> fraction = 0% / insulation thickness = 0 cm</a:t>
          </a:r>
          <a:endParaRPr lang="de-DE" sz="1100" b="1">
            <a:solidFill>
              <a:srgbClr val="FF0000"/>
            </a:solidFill>
          </a:endParaRPr>
        </a:p>
      </xdr:txBody>
    </xdr:sp>
    <xdr:clientData/>
  </xdr:twoCellAnchor>
  <xdr:twoCellAnchor>
    <xdr:from>
      <xdr:col>1</xdr:col>
      <xdr:colOff>583950</xdr:colOff>
      <xdr:row>264</xdr:row>
      <xdr:rowOff>0</xdr:rowOff>
    </xdr:from>
    <xdr:to>
      <xdr:col>2</xdr:col>
      <xdr:colOff>0</xdr:colOff>
      <xdr:row>276</xdr:row>
      <xdr:rowOff>0</xdr:rowOff>
    </xdr:to>
    <xdr:sp macro="" textlink="">
      <xdr:nvSpPr>
        <xdr:cNvPr id="17" name="Textfeld 16">
          <a:extLst>
            <a:ext uri="{FF2B5EF4-FFF2-40B4-BE49-F238E27FC236}">
              <a16:creationId xmlns:a16="http://schemas.microsoft.com/office/drawing/2014/main" id="{BE36A7ED-23B6-4469-A05D-456F91D7289A}"/>
            </a:ext>
          </a:extLst>
        </xdr:cNvPr>
        <xdr:cNvSpPr txBox="1"/>
      </xdr:nvSpPr>
      <xdr:spPr>
        <a:xfrm>
          <a:off x="1707900" y="72209025"/>
          <a:ext cx="540000" cy="4914900"/>
        </a:xfrm>
        <a:prstGeom prst="rect">
          <a:avLst/>
        </a:prstGeom>
        <a:no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vert270" wrap="square" tIns="216000" rtlCol="0" anchor="ctr" anchorCtr="0"/>
        <a:lstStyle/>
        <a:p>
          <a:pPr algn="r"/>
          <a:r>
            <a:rPr lang="de-DE" sz="1100" b="1">
              <a:solidFill>
                <a:srgbClr val="FF0000"/>
              </a:solidFill>
            </a:rPr>
            <a:t>Showcases</a:t>
          </a:r>
          <a:r>
            <a:rPr lang="de-DE" sz="1100" b="1" baseline="0">
              <a:solidFill>
                <a:srgbClr val="FF0000"/>
              </a:solidFill>
            </a:rPr>
            <a:t> in sheet "Tab.Charts"</a:t>
          </a:r>
          <a:endParaRPr lang="de-DE" sz="1100" b="1">
            <a:solidFill>
              <a:srgbClr val="FF0000"/>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0.0441</cdr:x>
      <cdr:y>0.00551</cdr:y>
    </cdr:from>
    <cdr:to>
      <cdr:x>0.10198</cdr:x>
      <cdr:y>0.2949</cdr:y>
    </cdr:to>
    <cdr:sp macro="" textlink="">
      <cdr:nvSpPr>
        <cdr:cNvPr id="2" name="Rechteck 1"/>
        <cdr:cNvSpPr/>
      </cdr:nvSpPr>
      <cdr:spPr>
        <a:xfrm xmlns:a="http://schemas.openxmlformats.org/drawingml/2006/main">
          <a:off x="190500" y="23814"/>
          <a:ext cx="250032" cy="1250156"/>
        </a:xfrm>
        <a:prstGeom xmlns:a="http://schemas.openxmlformats.org/drawingml/2006/main" prst="rect">
          <a:avLst/>
        </a:prstGeom>
        <a:solidFill xmlns:a="http://schemas.openxmlformats.org/drawingml/2006/main">
          <a:srgbClr val="F8F8F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0.85438</cdr:x>
      <cdr:y>0.339</cdr:y>
    </cdr:from>
    <cdr:to>
      <cdr:x>0.97841</cdr:x>
      <cdr:y>0.89848</cdr:y>
    </cdr:to>
    <cdr:sp macro="" textlink="">
      <cdr:nvSpPr>
        <cdr:cNvPr id="3" name="Rechteck 2"/>
        <cdr:cNvSpPr/>
      </cdr:nvSpPr>
      <cdr:spPr>
        <a:xfrm xmlns:a="http://schemas.openxmlformats.org/drawingml/2006/main">
          <a:off x="3690938" y="1464469"/>
          <a:ext cx="535782" cy="2416969"/>
        </a:xfrm>
        <a:prstGeom xmlns:a="http://schemas.openxmlformats.org/drawingml/2006/main" prst="rect">
          <a:avLst/>
        </a:prstGeom>
        <a:solidFill xmlns:a="http://schemas.openxmlformats.org/drawingml/2006/main">
          <a:srgbClr val="F8F8F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0.13505</cdr:x>
      <cdr:y>0.84612</cdr:y>
    </cdr:from>
    <cdr:to>
      <cdr:x>0.38861</cdr:x>
      <cdr:y>0.87643</cdr:y>
    </cdr:to>
    <cdr:sp macro="" textlink="DateTime_Current">
      <cdr:nvSpPr>
        <cdr:cNvPr id="4" name="Textfeld 3"/>
        <cdr:cNvSpPr txBox="1"/>
      </cdr:nvSpPr>
      <cdr:spPr>
        <a:xfrm xmlns:a="http://schemas.openxmlformats.org/drawingml/2006/main">
          <a:off x="583406" y="3655220"/>
          <a:ext cx="1095376" cy="130968"/>
        </a:xfrm>
        <a:prstGeom xmlns:a="http://schemas.openxmlformats.org/drawingml/2006/main" prst="rect">
          <a:avLst/>
        </a:prstGeom>
      </cdr:spPr>
      <cdr:txBody>
        <a:bodyPr xmlns:a="http://schemas.openxmlformats.org/drawingml/2006/main" vertOverflow="clip" wrap="square" lIns="0" tIns="0" rIns="0" bIns="0" rtlCol="0" anchor="b"/>
        <a:lstStyle xmlns:a="http://schemas.openxmlformats.org/drawingml/2006/main"/>
        <a:p xmlns:a="http://schemas.openxmlformats.org/drawingml/2006/main">
          <a:pPr algn="l"/>
          <a:fld id="{D1D8B272-594A-4808-99B2-C6B0DF5C827F}" type="TxLink">
            <a:rPr lang="en-US" sz="600" b="0" i="0" u="none" strike="noStrike">
              <a:solidFill>
                <a:srgbClr val="969696"/>
              </a:solidFill>
              <a:latin typeface="Tahoma"/>
              <a:ea typeface="Tahoma"/>
              <a:cs typeface="Tahoma"/>
            </a:rPr>
            <a:pPr algn="l"/>
            <a:t>14.05.2021 14:28</a:t>
          </a:fld>
          <a:endParaRPr lang="de-DE" sz="1100"/>
        </a:p>
      </cdr:txBody>
    </cdr:sp>
  </cdr:relSizeAnchor>
</c:userShapes>
</file>

<file path=xl/drawings/drawing4.xml><?xml version="1.0" encoding="utf-8"?>
<c:userShapes xmlns:c="http://schemas.openxmlformats.org/drawingml/2006/chart">
  <cdr:relSizeAnchor xmlns:cdr="http://schemas.openxmlformats.org/drawingml/2006/chartDrawing">
    <cdr:from>
      <cdr:x>0.0441</cdr:x>
      <cdr:y>0.00551</cdr:y>
    </cdr:from>
    <cdr:to>
      <cdr:x>0.10198</cdr:x>
      <cdr:y>0.2949</cdr:y>
    </cdr:to>
    <cdr:sp macro="" textlink="">
      <cdr:nvSpPr>
        <cdr:cNvPr id="2" name="Rechteck 1"/>
        <cdr:cNvSpPr/>
      </cdr:nvSpPr>
      <cdr:spPr>
        <a:xfrm xmlns:a="http://schemas.openxmlformats.org/drawingml/2006/main">
          <a:off x="190500" y="23814"/>
          <a:ext cx="250032" cy="1250156"/>
        </a:xfrm>
        <a:prstGeom xmlns:a="http://schemas.openxmlformats.org/drawingml/2006/main" prst="rect">
          <a:avLst/>
        </a:prstGeom>
        <a:solidFill xmlns:a="http://schemas.openxmlformats.org/drawingml/2006/main">
          <a:srgbClr val="F8F8F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0.85438</cdr:x>
      <cdr:y>0.339</cdr:y>
    </cdr:from>
    <cdr:to>
      <cdr:x>0.97841</cdr:x>
      <cdr:y>0.89848</cdr:y>
    </cdr:to>
    <cdr:sp macro="" textlink="">
      <cdr:nvSpPr>
        <cdr:cNvPr id="3" name="Rechteck 2"/>
        <cdr:cNvSpPr/>
      </cdr:nvSpPr>
      <cdr:spPr>
        <a:xfrm xmlns:a="http://schemas.openxmlformats.org/drawingml/2006/main">
          <a:off x="3690938" y="1464469"/>
          <a:ext cx="535782" cy="2416969"/>
        </a:xfrm>
        <a:prstGeom xmlns:a="http://schemas.openxmlformats.org/drawingml/2006/main" prst="rect">
          <a:avLst/>
        </a:prstGeom>
        <a:solidFill xmlns:a="http://schemas.openxmlformats.org/drawingml/2006/main">
          <a:srgbClr val="F8F8F8"/>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0.13505</cdr:x>
      <cdr:y>0.84612</cdr:y>
    </cdr:from>
    <cdr:to>
      <cdr:x>0.38861</cdr:x>
      <cdr:y>0.87643</cdr:y>
    </cdr:to>
    <cdr:sp macro="" textlink="DateTime_Current">
      <cdr:nvSpPr>
        <cdr:cNvPr id="4" name="Textfeld 3"/>
        <cdr:cNvSpPr txBox="1"/>
      </cdr:nvSpPr>
      <cdr:spPr>
        <a:xfrm xmlns:a="http://schemas.openxmlformats.org/drawingml/2006/main">
          <a:off x="583406" y="3655220"/>
          <a:ext cx="1095376" cy="130968"/>
        </a:xfrm>
        <a:prstGeom xmlns:a="http://schemas.openxmlformats.org/drawingml/2006/main" prst="rect">
          <a:avLst/>
        </a:prstGeom>
      </cdr:spPr>
      <cdr:txBody>
        <a:bodyPr xmlns:a="http://schemas.openxmlformats.org/drawingml/2006/main" vertOverflow="clip" wrap="square" lIns="0" tIns="0" rIns="0" bIns="0" rtlCol="0" anchor="b"/>
        <a:lstStyle xmlns:a="http://schemas.openxmlformats.org/drawingml/2006/main"/>
        <a:p xmlns:a="http://schemas.openxmlformats.org/drawingml/2006/main">
          <a:pPr algn="l"/>
          <a:fld id="{D1D8B272-594A-4808-99B2-C6B0DF5C827F}" type="TxLink">
            <a:rPr lang="en-US" sz="600" b="0" i="0" u="none" strike="noStrike">
              <a:solidFill>
                <a:srgbClr val="969696"/>
              </a:solidFill>
              <a:latin typeface="Tahoma"/>
              <a:ea typeface="Tahoma"/>
              <a:cs typeface="Tahoma"/>
            </a:rPr>
            <a:pPr algn="l"/>
            <a:t>14.05.2021 14:28</a:t>
          </a:fld>
          <a:endParaRPr lang="de-DE"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2933700</xdr:colOff>
      <xdr:row>35</xdr:row>
      <xdr:rowOff>114455</xdr:rowOff>
    </xdr:from>
    <xdr:to>
      <xdr:col>6</xdr:col>
      <xdr:colOff>30480</xdr:colOff>
      <xdr:row>50</xdr:row>
      <xdr:rowOff>1382</xdr:rowOff>
    </xdr:to>
    <xdr:graphicFrame macro="">
      <xdr:nvGraphicFramePr>
        <xdr:cNvPr id="3" name="Diagramm 2">
          <a:extLst>
            <a:ext uri="{FF2B5EF4-FFF2-40B4-BE49-F238E27FC236}">
              <a16:creationId xmlns:a16="http://schemas.microsoft.com/office/drawing/2014/main" id="{62F34498-4438-40C5-A1B9-DB6363C8A4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670559</xdr:colOff>
      <xdr:row>35</xdr:row>
      <xdr:rowOff>114455</xdr:rowOff>
    </xdr:from>
    <xdr:to>
      <xdr:col>10</xdr:col>
      <xdr:colOff>90054</xdr:colOff>
      <xdr:row>50</xdr:row>
      <xdr:rowOff>1382</xdr:rowOff>
    </xdr:to>
    <xdr:graphicFrame macro="">
      <xdr:nvGraphicFramePr>
        <xdr:cNvPr id="4" name="Diagramm 3">
          <a:extLst>
            <a:ext uri="{FF2B5EF4-FFF2-40B4-BE49-F238E27FC236}">
              <a16:creationId xmlns:a16="http://schemas.microsoft.com/office/drawing/2014/main" id="{3501131D-6CCF-4514-9C76-6119E6DE0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670560</xdr:colOff>
      <xdr:row>35</xdr:row>
      <xdr:rowOff>114455</xdr:rowOff>
    </xdr:from>
    <xdr:to>
      <xdr:col>7</xdr:col>
      <xdr:colOff>5861</xdr:colOff>
      <xdr:row>50</xdr:row>
      <xdr:rowOff>1382</xdr:rowOff>
    </xdr:to>
    <xdr:graphicFrame macro="">
      <xdr:nvGraphicFramePr>
        <xdr:cNvPr id="5" name="Diagramm 4">
          <a:extLst>
            <a:ext uri="{FF2B5EF4-FFF2-40B4-BE49-F238E27FC236}">
              <a16:creationId xmlns:a16="http://schemas.microsoft.com/office/drawing/2014/main" id="{9386FAA7-A219-45CF-BD54-F8E788E04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723900</xdr:colOff>
      <xdr:row>35</xdr:row>
      <xdr:rowOff>114455</xdr:rowOff>
    </xdr:from>
    <xdr:to>
      <xdr:col>8</xdr:col>
      <xdr:colOff>76200</xdr:colOff>
      <xdr:row>50</xdr:row>
      <xdr:rowOff>1382</xdr:rowOff>
    </xdr:to>
    <xdr:graphicFrame macro="">
      <xdr:nvGraphicFramePr>
        <xdr:cNvPr id="6" name="Diagramm 5">
          <a:extLst>
            <a:ext uri="{FF2B5EF4-FFF2-40B4-BE49-F238E27FC236}">
              <a16:creationId xmlns:a16="http://schemas.microsoft.com/office/drawing/2014/main" id="{788ECFDD-7446-4B7B-BF87-4F92E3A80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624840</xdr:colOff>
      <xdr:row>35</xdr:row>
      <xdr:rowOff>114455</xdr:rowOff>
    </xdr:from>
    <xdr:to>
      <xdr:col>9</xdr:col>
      <xdr:colOff>160020</xdr:colOff>
      <xdr:row>50</xdr:row>
      <xdr:rowOff>1382</xdr:rowOff>
    </xdr:to>
    <xdr:graphicFrame macro="">
      <xdr:nvGraphicFramePr>
        <xdr:cNvPr id="7" name="Diagramm 6">
          <a:extLst>
            <a:ext uri="{FF2B5EF4-FFF2-40B4-BE49-F238E27FC236}">
              <a16:creationId xmlns:a16="http://schemas.microsoft.com/office/drawing/2014/main" id="{FFF9CD48-8600-4609-A509-FF2A22B47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54</xdr:row>
      <xdr:rowOff>0</xdr:rowOff>
    </xdr:from>
    <xdr:to>
      <xdr:col>10</xdr:col>
      <xdr:colOff>0</xdr:colOff>
      <xdr:row>88</xdr:row>
      <xdr:rowOff>131617</xdr:rowOff>
    </xdr:to>
    <xdr:sp macro="" textlink="">
      <xdr:nvSpPr>
        <xdr:cNvPr id="2" name="Textfeld 1">
          <a:extLst>
            <a:ext uri="{FF2B5EF4-FFF2-40B4-BE49-F238E27FC236}">
              <a16:creationId xmlns:a16="http://schemas.microsoft.com/office/drawing/2014/main" id="{4140843F-A687-4738-B4A5-DE05B048BD8D}"/>
            </a:ext>
          </a:extLst>
        </xdr:cNvPr>
        <xdr:cNvSpPr txBox="1"/>
      </xdr:nvSpPr>
      <xdr:spPr>
        <a:xfrm>
          <a:off x="3823855" y="11783291"/>
          <a:ext cx="7162800" cy="4606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de-DE" sz="900">
              <a:latin typeface="Arial" panose="020B0604020202020204" pitchFamily="34" charset="0"/>
              <a:cs typeface="Arial" panose="020B0604020202020204" pitchFamily="34" charset="0"/>
            </a:rPr>
            <a:t>Examples</a:t>
          </a:r>
          <a:r>
            <a:rPr lang="de-DE" sz="900" baseline="0">
              <a:latin typeface="Arial" panose="020B0604020202020204" pitchFamily="34" charset="0"/>
              <a:cs typeface="Arial" panose="020B0604020202020204" pitchFamily="34" charset="0"/>
            </a:rPr>
            <a:t> developed for a paper and presentation at the eceee Summer Study 2021</a:t>
          </a:r>
        </a:p>
        <a:p>
          <a:endParaRPr lang="de-DE" sz="900">
            <a:latin typeface="Arial" panose="020B0604020202020204" pitchFamily="34" charset="0"/>
            <a:cs typeface="Arial" panose="020B0604020202020204" pitchFamily="34" charset="0"/>
          </a:endParaRPr>
        </a:p>
        <a:p>
          <a:r>
            <a:rPr lang="de-DE" sz="900">
              <a:latin typeface="Arial" panose="020B0604020202020204" pitchFamily="34" charset="0"/>
              <a:cs typeface="Arial" panose="020B0604020202020204" pitchFamily="34" charset="0"/>
            </a:rPr>
            <a:t>In the chart above</a:t>
          </a:r>
          <a:r>
            <a:rPr lang="de-DE" sz="900" baseline="0">
              <a:latin typeface="Arial" panose="020B0604020202020204" pitchFamily="34" charset="0"/>
              <a:cs typeface="Arial" panose="020B0604020202020204" pitchFamily="34" charset="0"/>
            </a:rPr>
            <a:t> </a:t>
          </a:r>
          <a:r>
            <a:rPr lang="de-DE" sz="900">
              <a:latin typeface="Arial" panose="020B0604020202020204" pitchFamily="34" charset="0"/>
              <a:cs typeface="Arial" panose="020B0604020202020204" pitchFamily="34" charset="0"/>
            </a:rPr>
            <a:t>the simplified estimation of the U-value and of its uncertainty is demonstrated for several scenarios of an exemplary construction element (top ceiling) of existing buildings: </a:t>
          </a:r>
        </a:p>
        <a:p>
          <a:pPr marL="171450" indent="-171450">
            <a:buFont typeface="Arial" panose="020B0604020202020204" pitchFamily="34" charset="0"/>
            <a:buChar char="•"/>
          </a:pPr>
          <a:r>
            <a:rPr lang="de-DE" sz="900">
              <a:latin typeface="Arial" panose="020B0604020202020204" pitchFamily="34" charset="0"/>
              <a:cs typeface="Arial" panose="020B0604020202020204" pitchFamily="34" charset="0"/>
            </a:rPr>
            <a:t>The first three showcases display the situation when the construction is as-built (certainly no insulation upgrade) for three different construction years (1960, 1980, 2000). According to the table of default U-values derived from typology analyses (see above) the typical U-values 1.10, 0.60, and 0.25 are selected and used for energy performance calculation – the respective relative uncertainties are ±30% for the two older buildings (reflecting the large variety and small undetectable amendments from former times) and ±20% (reflecting the variety admitted by the building code from 2000). </a:t>
          </a:r>
        </a:p>
        <a:p>
          <a:pPr marL="171450" indent="-171450">
            <a:buFont typeface="Arial" panose="020B0604020202020204" pitchFamily="34" charset="0"/>
            <a:buChar char="•"/>
          </a:pPr>
          <a:r>
            <a:rPr lang="de-DE" sz="900">
              <a:latin typeface="Arial" panose="020B0604020202020204" pitchFamily="34" charset="0"/>
              <a:cs typeface="Arial" panose="020B0604020202020204" pitchFamily="34" charset="0"/>
            </a:rPr>
            <a:t>Examples 4 and 5 show the effect of insulation upgrades of different insulation thicknesses (4 and 16 cm, data source: records of the building owner). </a:t>
          </a:r>
        </a:p>
        <a:p>
          <a:pPr marL="171450" indent="-171450">
            <a:buFont typeface="Arial" panose="020B0604020202020204" pitchFamily="34" charset="0"/>
            <a:buChar char="•"/>
          </a:pPr>
          <a:r>
            <a:rPr lang="de-DE" sz="900">
              <a:latin typeface="Arial" panose="020B0604020202020204" pitchFamily="34" charset="0"/>
              <a:cs typeface="Arial" panose="020B0604020202020204" pitchFamily="34" charset="0"/>
            </a:rPr>
            <a:t>Showcase number 6 and 7 illustrate the effect our model assigns to the type of information source. The input values (completely insulated, insulation thickness 16 cm) and the resulting U-values equal those of number 5 – however, the uncertainties are different. The effective U-value 0.182 W/(m²K) has an uncertainty of ±0.031 for data from the building owner’s records, of ± 0.020 for design data and of ±0.013 for design data with quality assurance. </a:t>
          </a:r>
        </a:p>
        <a:p>
          <a:pPr marL="171450" indent="-171450">
            <a:buFont typeface="Arial" panose="020B0604020202020204" pitchFamily="34" charset="0"/>
            <a:buChar char="•"/>
          </a:pPr>
          <a:r>
            <a:rPr lang="de-DE" sz="900">
              <a:latin typeface="Arial" panose="020B0604020202020204" pitchFamily="34" charset="0"/>
              <a:cs typeface="Arial" panose="020B0604020202020204" pitchFamily="34" charset="0"/>
            </a:rPr>
            <a:t>The examples 8 and 9 show the difference between 30 cm insulation on 50% and on 100% of the construction surface area (data from ex-post evaluation). Not only does the resulting U-value differ by nearly a factor 6, also the relative uncertainty differs strongly: The value is ±40% for the partly insulated and only ±15% for the completely insulated area. This demonstrates that for large insulation thicknesses an important uncertainty source is the area fraction covered by insulation. </a:t>
          </a:r>
        </a:p>
        <a:p>
          <a:pPr marL="171450" indent="-171450">
            <a:buFont typeface="Arial" panose="020B0604020202020204" pitchFamily="34" charset="0"/>
            <a:buChar char="•"/>
          </a:pPr>
          <a:r>
            <a:rPr lang="de-DE" sz="900">
              <a:latin typeface="Arial" panose="020B0604020202020204" pitchFamily="34" charset="0"/>
              <a:cs typeface="Arial" panose="020B0604020202020204" pitchFamily="34" charset="0"/>
            </a:rPr>
            <a:t>Showcase 10 displays a case where information about adding insulation on the ceiling has not been recorded in the company during a certain period of time (this seems to be quite common in Germany, in contrast to external wall insulation implemented usually during major refurbishments that were and are registered). In this case the average state of buildings of this age band is applied for insulation thickness and fraction (see above) and the uncertainties are for both quantities a maximum. The resulting U-value of 0.58 W/(m²K) is nearly the same as the insulation upgrade with 4 cm on 100 % of the area but the uncertainty is about ±60% compared to ±20% for the case when information is available. </a:t>
          </a:r>
        </a:p>
        <a:p>
          <a:pPr marL="171450" indent="-171450">
            <a:buFont typeface="Arial" panose="020B0604020202020204" pitchFamily="34" charset="0"/>
            <a:buChar char="•"/>
          </a:pPr>
          <a:r>
            <a:rPr lang="de-DE" sz="900">
              <a:latin typeface="Arial" panose="020B0604020202020204" pitchFamily="34" charset="0"/>
              <a:cs typeface="Arial" panose="020B0604020202020204" pitchFamily="34" charset="0"/>
            </a:rPr>
            <a:t>The last two examples 11 and 12 show the situation when information about the year of an upgrade was recorded but information about insulation thickness and fraction is not available. In this case the average insulation thickness applied during this period is used: For the upgrade reported from 1990 the value of 9 cm ±3.6 cm is assigned, for the upgrade reported from 2017 the value of 15 cm ±5.0 cm is assigned. The tabled default values used here for thickness and fraction were derived from the residential building survey 2016 [4].</a:t>
          </a:r>
        </a:p>
        <a:p>
          <a:pPr marL="0" indent="0">
            <a:buFontTx/>
            <a:buNone/>
          </a:pPr>
          <a:endParaRPr lang="de-DE" sz="900">
            <a:latin typeface="Arial" panose="020B0604020202020204" pitchFamily="34" charset="0"/>
            <a:cs typeface="Arial" panose="020B0604020202020204" pitchFamily="34" charset="0"/>
          </a:endParaRPr>
        </a:p>
        <a:p>
          <a:pPr marL="0" indent="0">
            <a:buFontTx/>
            <a:buNone/>
          </a:pPr>
          <a:r>
            <a:rPr lang="de-DE" sz="900">
              <a:latin typeface="Arial" panose="020B0604020202020204" pitchFamily="34" charset="0"/>
              <a:cs typeface="Arial" panose="020B0604020202020204" pitchFamily="34" charset="0"/>
            </a:rPr>
            <a:t>Detailed information about</a:t>
          </a:r>
          <a:r>
            <a:rPr lang="de-DE" sz="900" baseline="0">
              <a:latin typeface="Arial" panose="020B0604020202020204" pitchFamily="34" charset="0"/>
              <a:cs typeface="Arial" panose="020B0604020202020204" pitchFamily="34" charset="0"/>
            </a:rPr>
            <a:t> the method can </a:t>
          </a:r>
          <a:r>
            <a:rPr lang="de-DE" sz="900">
              <a:latin typeface="Arial" panose="020B0604020202020204" pitchFamily="34" charset="0"/>
              <a:cs typeface="Arial" panose="020B0604020202020204" pitchFamily="34" charset="0"/>
            </a:rPr>
            <a:t>be found in [1]. </a:t>
          </a:r>
        </a:p>
        <a:p>
          <a:pPr marL="0" indent="0">
            <a:buFontTx/>
            <a:buNone/>
          </a:pPr>
          <a:endParaRPr lang="de-DE" sz="900">
            <a:latin typeface="Arial" panose="020B0604020202020204" pitchFamily="34" charset="0"/>
            <a:cs typeface="Arial" panose="020B0604020202020204" pitchFamily="34" charset="0"/>
          </a:endParaRPr>
        </a:p>
        <a:p>
          <a:pPr marL="0" indent="0">
            <a:buFontTx/>
            <a:buNone/>
          </a:pPr>
          <a:endParaRPr lang="de-DE" sz="9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201930</xdr:colOff>
      <xdr:row>216</xdr:row>
      <xdr:rowOff>0</xdr:rowOff>
    </xdr:from>
    <xdr:to>
      <xdr:col>16</xdr:col>
      <xdr:colOff>194310</xdr:colOff>
      <xdr:row>218</xdr:row>
      <xdr:rowOff>133350</xdr:rowOff>
    </xdr:to>
    <xdr:sp macro="" textlink="">
      <xdr:nvSpPr>
        <xdr:cNvPr id="3" name="Textfeld 14">
          <a:extLst>
            <a:ext uri="{FF2B5EF4-FFF2-40B4-BE49-F238E27FC236}">
              <a16:creationId xmlns:a16="http://schemas.microsoft.com/office/drawing/2014/main" id="{81B45C35-FEFA-4723-B770-D993A95D1625}"/>
            </a:ext>
          </a:extLst>
        </xdr:cNvPr>
        <xdr:cNvSpPr txBox="1"/>
      </xdr:nvSpPr>
      <xdr:spPr>
        <a:xfrm>
          <a:off x="3082290" y="71528940"/>
          <a:ext cx="403860" cy="4381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Value</a:t>
          </a:r>
        </a:p>
      </xdr:txBody>
    </xdr:sp>
    <xdr:clientData/>
  </xdr:twoCellAnchor>
  <xdr:twoCellAnchor>
    <xdr:from>
      <xdr:col>20</xdr:col>
      <xdr:colOff>7620</xdr:colOff>
      <xdr:row>219</xdr:row>
      <xdr:rowOff>0</xdr:rowOff>
    </xdr:from>
    <xdr:to>
      <xdr:col>22</xdr:col>
      <xdr:colOff>0</xdr:colOff>
      <xdr:row>220</xdr:row>
      <xdr:rowOff>0</xdr:rowOff>
    </xdr:to>
    <xdr:sp macro="" textlink="">
      <xdr:nvSpPr>
        <xdr:cNvPr id="4" name="Textfeld 16">
          <a:extLst>
            <a:ext uri="{FF2B5EF4-FFF2-40B4-BE49-F238E27FC236}">
              <a16:creationId xmlns:a16="http://schemas.microsoft.com/office/drawing/2014/main" id="{39EB148B-D271-4EF7-BC8C-9F03A5828F7A}"/>
            </a:ext>
          </a:extLst>
        </xdr:cNvPr>
        <xdr:cNvSpPr txBox="1"/>
      </xdr:nvSpPr>
      <xdr:spPr>
        <a:xfrm>
          <a:off x="4122420" y="71986140"/>
          <a:ext cx="40386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relative </a:t>
          </a:r>
        </a:p>
      </xdr:txBody>
    </xdr:sp>
    <xdr:clientData/>
  </xdr:twoCellAnchor>
  <xdr:twoCellAnchor>
    <xdr:from>
      <xdr:col>16</xdr:col>
      <xdr:colOff>186690</xdr:colOff>
      <xdr:row>216</xdr:row>
      <xdr:rowOff>0</xdr:rowOff>
    </xdr:from>
    <xdr:to>
      <xdr:col>21</xdr:col>
      <xdr:colOff>167640</xdr:colOff>
      <xdr:row>217</xdr:row>
      <xdr:rowOff>95250</xdr:rowOff>
    </xdr:to>
    <xdr:sp macro="" textlink="">
      <xdr:nvSpPr>
        <xdr:cNvPr id="5" name="Textfeld 26">
          <a:extLst>
            <a:ext uri="{FF2B5EF4-FFF2-40B4-BE49-F238E27FC236}">
              <a16:creationId xmlns:a16="http://schemas.microsoft.com/office/drawing/2014/main" id="{0049D02E-CFB2-442C-973E-199B1F97B6CA}"/>
            </a:ext>
          </a:extLst>
        </xdr:cNvPr>
        <xdr:cNvSpPr txBox="1"/>
      </xdr:nvSpPr>
      <xdr:spPr>
        <a:xfrm>
          <a:off x="3539490" y="51301650"/>
          <a:ext cx="1028700" cy="2476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Uncertainty</a:t>
          </a:r>
        </a:p>
      </xdr:txBody>
    </xdr:sp>
    <xdr:clientData/>
  </xdr:twoCellAnchor>
  <xdr:twoCellAnchor>
    <xdr:from>
      <xdr:col>17</xdr:col>
      <xdr:colOff>182880</xdr:colOff>
      <xdr:row>219</xdr:row>
      <xdr:rowOff>0</xdr:rowOff>
    </xdr:from>
    <xdr:to>
      <xdr:col>20</xdr:col>
      <xdr:colOff>41910</xdr:colOff>
      <xdr:row>220</xdr:row>
      <xdr:rowOff>0</xdr:rowOff>
    </xdr:to>
    <xdr:sp macro="" textlink="">
      <xdr:nvSpPr>
        <xdr:cNvPr id="6" name="Textfeld 28">
          <a:extLst>
            <a:ext uri="{FF2B5EF4-FFF2-40B4-BE49-F238E27FC236}">
              <a16:creationId xmlns:a16="http://schemas.microsoft.com/office/drawing/2014/main" id="{37EE101D-3395-444B-9A36-633A74F93FBA}"/>
            </a:ext>
          </a:extLst>
        </xdr:cNvPr>
        <xdr:cNvSpPr txBox="1"/>
      </xdr:nvSpPr>
      <xdr:spPr>
        <a:xfrm>
          <a:off x="3680460" y="71986140"/>
          <a:ext cx="47625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absolute</a:t>
          </a:r>
        </a:p>
      </xdr:txBody>
    </xdr:sp>
    <xdr:clientData/>
  </xdr:twoCellAnchor>
  <xdr:twoCellAnchor>
    <xdr:from>
      <xdr:col>22</xdr:col>
      <xdr:colOff>0</xdr:colOff>
      <xdr:row>216</xdr:row>
      <xdr:rowOff>0</xdr:rowOff>
    </xdr:from>
    <xdr:to>
      <xdr:col>25</xdr:col>
      <xdr:colOff>0</xdr:colOff>
      <xdr:row>220</xdr:row>
      <xdr:rowOff>0</xdr:rowOff>
    </xdr:to>
    <xdr:sp macro="" textlink="">
      <xdr:nvSpPr>
        <xdr:cNvPr id="7" name="Textfeld 17">
          <a:extLst>
            <a:ext uri="{FF2B5EF4-FFF2-40B4-BE49-F238E27FC236}">
              <a16:creationId xmlns:a16="http://schemas.microsoft.com/office/drawing/2014/main" id="{CB1FFD32-155E-418D-B217-5E48485BDB42}"/>
            </a:ext>
          </a:extLst>
        </xdr:cNvPr>
        <xdr:cNvSpPr txBox="1"/>
      </xdr:nvSpPr>
      <xdr:spPr>
        <a:xfrm>
          <a:off x="4610100" y="73494900"/>
          <a:ext cx="628650" cy="6096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Sensitivity</a:t>
          </a:r>
          <a:r>
            <a:rPr lang="de-DE" sz="8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of U-value to change of quantitiy</a:t>
          </a:r>
          <a:endPar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112395</xdr:colOff>
      <xdr:row>216</xdr:row>
      <xdr:rowOff>0</xdr:rowOff>
    </xdr:from>
    <xdr:to>
      <xdr:col>29</xdr:col>
      <xdr:colOff>97155</xdr:colOff>
      <xdr:row>218</xdr:row>
      <xdr:rowOff>76200</xdr:rowOff>
    </xdr:to>
    <xdr:sp macro="" textlink="">
      <xdr:nvSpPr>
        <xdr:cNvPr id="8" name="Textfeld 17">
          <a:extLst>
            <a:ext uri="{FF2B5EF4-FFF2-40B4-BE49-F238E27FC236}">
              <a16:creationId xmlns:a16="http://schemas.microsoft.com/office/drawing/2014/main" id="{FB61246D-A735-4B6F-AFAC-9DBB7CFC2270}"/>
            </a:ext>
          </a:extLst>
        </xdr:cNvPr>
        <xdr:cNvSpPr txBox="1"/>
      </xdr:nvSpPr>
      <xdr:spPr>
        <a:xfrm>
          <a:off x="5351145" y="73494900"/>
          <a:ext cx="822960" cy="3810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Resulting uncertainty</a:t>
          </a:r>
          <a:r>
            <a:rPr lang="de-DE" sz="7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of effective U-value</a:t>
          </a:r>
          <a:endPar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0</xdr:colOff>
      <xdr:row>216</xdr:row>
      <xdr:rowOff>0</xdr:rowOff>
    </xdr:from>
    <xdr:to>
      <xdr:col>12</xdr:col>
      <xdr:colOff>201930</xdr:colOff>
      <xdr:row>219</xdr:row>
      <xdr:rowOff>133350</xdr:rowOff>
    </xdr:to>
    <xdr:sp macro="" textlink="">
      <xdr:nvSpPr>
        <xdr:cNvPr id="9" name="Textfeld 21">
          <a:extLst>
            <a:ext uri="{FF2B5EF4-FFF2-40B4-BE49-F238E27FC236}">
              <a16:creationId xmlns:a16="http://schemas.microsoft.com/office/drawing/2014/main" id="{A22F2875-C685-4685-8923-C9B27C887719}"/>
            </a:ext>
          </a:extLst>
        </xdr:cNvPr>
        <xdr:cNvSpPr txBox="1"/>
      </xdr:nvSpPr>
      <xdr:spPr>
        <a:xfrm>
          <a:off x="2305050" y="51301650"/>
          <a:ext cx="411480" cy="5905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Quantity</a:t>
          </a:r>
        </a:p>
      </xdr:txBody>
    </xdr:sp>
    <xdr:clientData/>
  </xdr:twoCellAnchor>
  <xdr:twoCellAnchor>
    <xdr:from>
      <xdr:col>12</xdr:col>
      <xdr:colOff>201930</xdr:colOff>
      <xdr:row>216</xdr:row>
      <xdr:rowOff>0</xdr:rowOff>
    </xdr:from>
    <xdr:to>
      <xdr:col>14</xdr:col>
      <xdr:colOff>194310</xdr:colOff>
      <xdr:row>218</xdr:row>
      <xdr:rowOff>133350</xdr:rowOff>
    </xdr:to>
    <xdr:sp macro="" textlink="">
      <xdr:nvSpPr>
        <xdr:cNvPr id="10" name="Textfeld 14">
          <a:extLst>
            <a:ext uri="{FF2B5EF4-FFF2-40B4-BE49-F238E27FC236}">
              <a16:creationId xmlns:a16="http://schemas.microsoft.com/office/drawing/2014/main" id="{EA257439-A23C-41FA-A4E0-3E041CBE3D03}"/>
            </a:ext>
          </a:extLst>
        </xdr:cNvPr>
        <xdr:cNvSpPr txBox="1"/>
      </xdr:nvSpPr>
      <xdr:spPr>
        <a:xfrm>
          <a:off x="2670810" y="71528940"/>
          <a:ext cx="403860" cy="4381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Unit</a:t>
          </a:r>
        </a:p>
      </xdr:txBody>
    </xdr:sp>
    <xdr:clientData/>
  </xdr:twoCellAnchor>
  <xdr:twoCellAnchor>
    <xdr:from>
      <xdr:col>24</xdr:col>
      <xdr:colOff>190500</xdr:colOff>
      <xdr:row>219</xdr:row>
      <xdr:rowOff>0</xdr:rowOff>
    </xdr:from>
    <xdr:to>
      <xdr:col>27</xdr:col>
      <xdr:colOff>179070</xdr:colOff>
      <xdr:row>220</xdr:row>
      <xdr:rowOff>0</xdr:rowOff>
    </xdr:to>
    <xdr:sp macro="" textlink="">
      <xdr:nvSpPr>
        <xdr:cNvPr id="11" name="Textfeld 28">
          <a:extLst>
            <a:ext uri="{FF2B5EF4-FFF2-40B4-BE49-F238E27FC236}">
              <a16:creationId xmlns:a16="http://schemas.microsoft.com/office/drawing/2014/main" id="{946E5638-9B01-4FE8-95ED-5977D81DC891}"/>
            </a:ext>
          </a:extLst>
        </xdr:cNvPr>
        <xdr:cNvSpPr txBox="1"/>
      </xdr:nvSpPr>
      <xdr:spPr>
        <a:xfrm>
          <a:off x="5219700" y="73952100"/>
          <a:ext cx="61722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absolute</a:t>
          </a:r>
        </a:p>
      </xdr:txBody>
    </xdr:sp>
    <xdr:clientData/>
  </xdr:twoCellAnchor>
  <xdr:twoCellAnchor>
    <xdr:from>
      <xdr:col>29</xdr:col>
      <xdr:colOff>190500</xdr:colOff>
      <xdr:row>216</xdr:row>
      <xdr:rowOff>0</xdr:rowOff>
    </xdr:from>
    <xdr:to>
      <xdr:col>32</xdr:col>
      <xdr:colOff>29850</xdr:colOff>
      <xdr:row>219</xdr:row>
      <xdr:rowOff>0</xdr:rowOff>
    </xdr:to>
    <xdr:sp macro="" textlink="">
      <xdr:nvSpPr>
        <xdr:cNvPr id="12" name="Textfeld 23">
          <a:extLst>
            <a:ext uri="{FF2B5EF4-FFF2-40B4-BE49-F238E27FC236}">
              <a16:creationId xmlns:a16="http://schemas.microsoft.com/office/drawing/2014/main" id="{A8AE44A2-ED31-40A0-BA23-9809A77C5FAD}"/>
            </a:ext>
          </a:extLst>
        </xdr:cNvPr>
        <xdr:cNvSpPr txBox="1"/>
      </xdr:nvSpPr>
      <xdr:spPr>
        <a:xfrm>
          <a:off x="6267450" y="73494900"/>
          <a:ext cx="468000" cy="4572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Relevance of quantity for total uncertainty</a:t>
          </a:r>
          <a:endParaRPr lang="de-DE" sz="7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7620</xdr:colOff>
      <xdr:row>219</xdr:row>
      <xdr:rowOff>0</xdr:rowOff>
    </xdr:from>
    <xdr:to>
      <xdr:col>30</xdr:col>
      <xdr:colOff>0</xdr:colOff>
      <xdr:row>220</xdr:row>
      <xdr:rowOff>0</xdr:rowOff>
    </xdr:to>
    <xdr:sp macro="" textlink="">
      <xdr:nvSpPr>
        <xdr:cNvPr id="13" name="Textfeld 16">
          <a:extLst>
            <a:ext uri="{FF2B5EF4-FFF2-40B4-BE49-F238E27FC236}">
              <a16:creationId xmlns:a16="http://schemas.microsoft.com/office/drawing/2014/main" id="{E8B9594B-861B-4E93-8F6E-6E50347D112B}"/>
            </a:ext>
          </a:extLst>
        </xdr:cNvPr>
        <xdr:cNvSpPr txBox="1"/>
      </xdr:nvSpPr>
      <xdr:spPr>
        <a:xfrm>
          <a:off x="5875020" y="73952100"/>
          <a:ext cx="41148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relative </a:t>
          </a:r>
        </a:p>
      </xdr:txBody>
    </xdr:sp>
    <xdr:clientData/>
  </xdr:twoCellAnchor>
  <xdr:twoCellAnchor>
    <xdr:from>
      <xdr:col>17</xdr:col>
      <xdr:colOff>22860</xdr:colOff>
      <xdr:row>217</xdr:row>
      <xdr:rowOff>68580</xdr:rowOff>
    </xdr:from>
    <xdr:to>
      <xdr:col>20</xdr:col>
      <xdr:colOff>11430</xdr:colOff>
      <xdr:row>218</xdr:row>
      <xdr:rowOff>53340</xdr:rowOff>
    </xdr:to>
    <xdr:sp macro="" textlink="">
      <xdr:nvSpPr>
        <xdr:cNvPr id="14" name="Textfeld 15">
          <a:extLst>
            <a:ext uri="{FF2B5EF4-FFF2-40B4-BE49-F238E27FC236}">
              <a16:creationId xmlns:a16="http://schemas.microsoft.com/office/drawing/2014/main" id="{2C12D1B8-EE80-4DC7-BA0A-8816020C6F49}"/>
            </a:ext>
          </a:extLst>
        </xdr:cNvPr>
        <xdr:cNvSpPr txBox="1"/>
      </xdr:nvSpPr>
      <xdr:spPr>
        <a:xfrm>
          <a:off x="3585210" y="51522630"/>
          <a:ext cx="617220" cy="13716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l"/>
          <a:r>
            <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rPr>
            <a:t>Category</a:t>
          </a:r>
        </a:p>
      </xdr:txBody>
    </xdr:sp>
    <xdr:clientData/>
  </xdr:twoCellAnchor>
  <xdr:twoCellAnchor>
    <xdr:from>
      <xdr:col>14</xdr:col>
      <xdr:colOff>201930</xdr:colOff>
      <xdr:row>286</xdr:row>
      <xdr:rowOff>0</xdr:rowOff>
    </xdr:from>
    <xdr:to>
      <xdr:col>16</xdr:col>
      <xdr:colOff>194310</xdr:colOff>
      <xdr:row>288</xdr:row>
      <xdr:rowOff>133350</xdr:rowOff>
    </xdr:to>
    <xdr:sp macro="" textlink="">
      <xdr:nvSpPr>
        <xdr:cNvPr id="16" name="Textfeld 14">
          <a:extLst>
            <a:ext uri="{FF2B5EF4-FFF2-40B4-BE49-F238E27FC236}">
              <a16:creationId xmlns:a16="http://schemas.microsoft.com/office/drawing/2014/main" id="{BE92FCFD-7DB1-47EE-8070-27223B89D832}"/>
            </a:ext>
          </a:extLst>
        </xdr:cNvPr>
        <xdr:cNvSpPr txBox="1"/>
      </xdr:nvSpPr>
      <xdr:spPr>
        <a:xfrm>
          <a:off x="3082290" y="853440"/>
          <a:ext cx="403860" cy="4381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Value</a:t>
          </a:r>
        </a:p>
      </xdr:txBody>
    </xdr:sp>
    <xdr:clientData/>
  </xdr:twoCellAnchor>
  <xdr:twoCellAnchor>
    <xdr:from>
      <xdr:col>20</xdr:col>
      <xdr:colOff>7620</xdr:colOff>
      <xdr:row>289</xdr:row>
      <xdr:rowOff>0</xdr:rowOff>
    </xdr:from>
    <xdr:to>
      <xdr:col>22</xdr:col>
      <xdr:colOff>0</xdr:colOff>
      <xdr:row>290</xdr:row>
      <xdr:rowOff>0</xdr:rowOff>
    </xdr:to>
    <xdr:sp macro="" textlink="">
      <xdr:nvSpPr>
        <xdr:cNvPr id="17" name="Textfeld 16">
          <a:extLst>
            <a:ext uri="{FF2B5EF4-FFF2-40B4-BE49-F238E27FC236}">
              <a16:creationId xmlns:a16="http://schemas.microsoft.com/office/drawing/2014/main" id="{211A13E7-2B29-4AF3-9486-D5EEBCD27045}"/>
            </a:ext>
          </a:extLst>
        </xdr:cNvPr>
        <xdr:cNvSpPr txBox="1"/>
      </xdr:nvSpPr>
      <xdr:spPr>
        <a:xfrm>
          <a:off x="4122420" y="1310640"/>
          <a:ext cx="40386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relative </a:t>
          </a:r>
        </a:p>
      </xdr:txBody>
    </xdr:sp>
    <xdr:clientData/>
  </xdr:twoCellAnchor>
  <xdr:twoCellAnchor>
    <xdr:from>
      <xdr:col>16</xdr:col>
      <xdr:colOff>186690</xdr:colOff>
      <xdr:row>286</xdr:row>
      <xdr:rowOff>0</xdr:rowOff>
    </xdr:from>
    <xdr:to>
      <xdr:col>21</xdr:col>
      <xdr:colOff>167640</xdr:colOff>
      <xdr:row>287</xdr:row>
      <xdr:rowOff>95250</xdr:rowOff>
    </xdr:to>
    <xdr:sp macro="" textlink="">
      <xdr:nvSpPr>
        <xdr:cNvPr id="18" name="Textfeld 26">
          <a:extLst>
            <a:ext uri="{FF2B5EF4-FFF2-40B4-BE49-F238E27FC236}">
              <a16:creationId xmlns:a16="http://schemas.microsoft.com/office/drawing/2014/main" id="{A00BF134-E586-4D7D-8E26-DC4CCC790B9D}"/>
            </a:ext>
          </a:extLst>
        </xdr:cNvPr>
        <xdr:cNvSpPr txBox="1"/>
      </xdr:nvSpPr>
      <xdr:spPr>
        <a:xfrm>
          <a:off x="3478530" y="853440"/>
          <a:ext cx="1009650" cy="2476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Uncertainty</a:t>
          </a:r>
        </a:p>
      </xdr:txBody>
    </xdr:sp>
    <xdr:clientData/>
  </xdr:twoCellAnchor>
  <xdr:twoCellAnchor>
    <xdr:from>
      <xdr:col>17</xdr:col>
      <xdr:colOff>182880</xdr:colOff>
      <xdr:row>289</xdr:row>
      <xdr:rowOff>0</xdr:rowOff>
    </xdr:from>
    <xdr:to>
      <xdr:col>20</xdr:col>
      <xdr:colOff>41910</xdr:colOff>
      <xdr:row>290</xdr:row>
      <xdr:rowOff>0</xdr:rowOff>
    </xdr:to>
    <xdr:sp macro="" textlink="">
      <xdr:nvSpPr>
        <xdr:cNvPr id="19" name="Textfeld 28">
          <a:extLst>
            <a:ext uri="{FF2B5EF4-FFF2-40B4-BE49-F238E27FC236}">
              <a16:creationId xmlns:a16="http://schemas.microsoft.com/office/drawing/2014/main" id="{1239EC53-F84A-40D6-A78E-4ED8B1EE2609}"/>
            </a:ext>
          </a:extLst>
        </xdr:cNvPr>
        <xdr:cNvSpPr txBox="1"/>
      </xdr:nvSpPr>
      <xdr:spPr>
        <a:xfrm>
          <a:off x="3680460" y="1310640"/>
          <a:ext cx="47625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absolute</a:t>
          </a:r>
        </a:p>
      </xdr:txBody>
    </xdr:sp>
    <xdr:clientData/>
  </xdr:twoCellAnchor>
  <xdr:twoCellAnchor>
    <xdr:from>
      <xdr:col>22</xdr:col>
      <xdr:colOff>0</xdr:colOff>
      <xdr:row>286</xdr:row>
      <xdr:rowOff>0</xdr:rowOff>
    </xdr:from>
    <xdr:to>
      <xdr:col>25</xdr:col>
      <xdr:colOff>0</xdr:colOff>
      <xdr:row>290</xdr:row>
      <xdr:rowOff>0</xdr:rowOff>
    </xdr:to>
    <xdr:sp macro="" textlink="">
      <xdr:nvSpPr>
        <xdr:cNvPr id="20" name="Textfeld 17">
          <a:extLst>
            <a:ext uri="{FF2B5EF4-FFF2-40B4-BE49-F238E27FC236}">
              <a16:creationId xmlns:a16="http://schemas.microsoft.com/office/drawing/2014/main" id="{A229E393-4D29-4610-9C69-270129015F59}"/>
            </a:ext>
          </a:extLst>
        </xdr:cNvPr>
        <xdr:cNvSpPr txBox="1"/>
      </xdr:nvSpPr>
      <xdr:spPr>
        <a:xfrm>
          <a:off x="4526280" y="853440"/>
          <a:ext cx="617220" cy="6096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Sensitivity</a:t>
          </a:r>
          <a:r>
            <a:rPr lang="de-DE" sz="8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of U-value to change of quantitiy</a:t>
          </a:r>
          <a:endPar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112395</xdr:colOff>
      <xdr:row>286</xdr:row>
      <xdr:rowOff>0</xdr:rowOff>
    </xdr:from>
    <xdr:to>
      <xdr:col>29</xdr:col>
      <xdr:colOff>97155</xdr:colOff>
      <xdr:row>288</xdr:row>
      <xdr:rowOff>76200</xdr:rowOff>
    </xdr:to>
    <xdr:sp macro="" textlink="">
      <xdr:nvSpPr>
        <xdr:cNvPr id="21" name="Textfeld 17">
          <a:extLst>
            <a:ext uri="{FF2B5EF4-FFF2-40B4-BE49-F238E27FC236}">
              <a16:creationId xmlns:a16="http://schemas.microsoft.com/office/drawing/2014/main" id="{104CD1D6-95B8-4E1A-8F06-8A45E5B3FA70}"/>
            </a:ext>
          </a:extLst>
        </xdr:cNvPr>
        <xdr:cNvSpPr txBox="1"/>
      </xdr:nvSpPr>
      <xdr:spPr>
        <a:xfrm>
          <a:off x="5255895" y="853440"/>
          <a:ext cx="807720" cy="3810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Resulting uncertainty</a:t>
          </a:r>
          <a:r>
            <a:rPr lang="de-DE" sz="7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of effective U-value</a:t>
          </a:r>
          <a:endPar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0</xdr:colOff>
      <xdr:row>286</xdr:row>
      <xdr:rowOff>0</xdr:rowOff>
    </xdr:from>
    <xdr:to>
      <xdr:col>12</xdr:col>
      <xdr:colOff>201930</xdr:colOff>
      <xdr:row>289</xdr:row>
      <xdr:rowOff>133350</xdr:rowOff>
    </xdr:to>
    <xdr:sp macro="" textlink="">
      <xdr:nvSpPr>
        <xdr:cNvPr id="22" name="Textfeld 21">
          <a:extLst>
            <a:ext uri="{FF2B5EF4-FFF2-40B4-BE49-F238E27FC236}">
              <a16:creationId xmlns:a16="http://schemas.microsoft.com/office/drawing/2014/main" id="{1A49590F-8842-40DC-A56C-4E47A6AB5D34}"/>
            </a:ext>
          </a:extLst>
        </xdr:cNvPr>
        <xdr:cNvSpPr txBox="1"/>
      </xdr:nvSpPr>
      <xdr:spPr>
        <a:xfrm>
          <a:off x="2263140" y="853440"/>
          <a:ext cx="407670" cy="5905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Quantity</a:t>
          </a:r>
        </a:p>
      </xdr:txBody>
    </xdr:sp>
    <xdr:clientData/>
  </xdr:twoCellAnchor>
  <xdr:twoCellAnchor>
    <xdr:from>
      <xdr:col>12</xdr:col>
      <xdr:colOff>201930</xdr:colOff>
      <xdr:row>286</xdr:row>
      <xdr:rowOff>0</xdr:rowOff>
    </xdr:from>
    <xdr:to>
      <xdr:col>14</xdr:col>
      <xdr:colOff>194310</xdr:colOff>
      <xdr:row>288</xdr:row>
      <xdr:rowOff>133350</xdr:rowOff>
    </xdr:to>
    <xdr:sp macro="" textlink="">
      <xdr:nvSpPr>
        <xdr:cNvPr id="23" name="Textfeld 14">
          <a:extLst>
            <a:ext uri="{FF2B5EF4-FFF2-40B4-BE49-F238E27FC236}">
              <a16:creationId xmlns:a16="http://schemas.microsoft.com/office/drawing/2014/main" id="{AB7DCCF7-D33F-4FB2-BC4A-66299F3F0EAE}"/>
            </a:ext>
          </a:extLst>
        </xdr:cNvPr>
        <xdr:cNvSpPr txBox="1"/>
      </xdr:nvSpPr>
      <xdr:spPr>
        <a:xfrm>
          <a:off x="2670810" y="853440"/>
          <a:ext cx="403860" cy="43815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Unit</a:t>
          </a:r>
        </a:p>
      </xdr:txBody>
    </xdr:sp>
    <xdr:clientData/>
  </xdr:twoCellAnchor>
  <xdr:twoCellAnchor>
    <xdr:from>
      <xdr:col>24</xdr:col>
      <xdr:colOff>190500</xdr:colOff>
      <xdr:row>289</xdr:row>
      <xdr:rowOff>0</xdr:rowOff>
    </xdr:from>
    <xdr:to>
      <xdr:col>27</xdr:col>
      <xdr:colOff>179070</xdr:colOff>
      <xdr:row>290</xdr:row>
      <xdr:rowOff>0</xdr:rowOff>
    </xdr:to>
    <xdr:sp macro="" textlink="">
      <xdr:nvSpPr>
        <xdr:cNvPr id="24" name="Textfeld 28">
          <a:extLst>
            <a:ext uri="{FF2B5EF4-FFF2-40B4-BE49-F238E27FC236}">
              <a16:creationId xmlns:a16="http://schemas.microsoft.com/office/drawing/2014/main" id="{62D977CC-D069-44F8-AA55-751DE7AC0EC7}"/>
            </a:ext>
          </a:extLst>
        </xdr:cNvPr>
        <xdr:cNvSpPr txBox="1"/>
      </xdr:nvSpPr>
      <xdr:spPr>
        <a:xfrm>
          <a:off x="5128260" y="1310640"/>
          <a:ext cx="60579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absolute</a:t>
          </a:r>
        </a:p>
      </xdr:txBody>
    </xdr:sp>
    <xdr:clientData/>
  </xdr:twoCellAnchor>
  <xdr:twoCellAnchor>
    <xdr:from>
      <xdr:col>29</xdr:col>
      <xdr:colOff>190500</xdr:colOff>
      <xdr:row>286</xdr:row>
      <xdr:rowOff>0</xdr:rowOff>
    </xdr:from>
    <xdr:to>
      <xdr:col>32</xdr:col>
      <xdr:colOff>29850</xdr:colOff>
      <xdr:row>289</xdr:row>
      <xdr:rowOff>0</xdr:rowOff>
    </xdr:to>
    <xdr:sp macro="" textlink="">
      <xdr:nvSpPr>
        <xdr:cNvPr id="25" name="Textfeld 23">
          <a:extLst>
            <a:ext uri="{FF2B5EF4-FFF2-40B4-BE49-F238E27FC236}">
              <a16:creationId xmlns:a16="http://schemas.microsoft.com/office/drawing/2014/main" id="{2AB14242-A0EE-41E7-ACDE-ACE8A25FCA5E}"/>
            </a:ext>
          </a:extLst>
        </xdr:cNvPr>
        <xdr:cNvSpPr txBox="1"/>
      </xdr:nvSpPr>
      <xdr:spPr>
        <a:xfrm>
          <a:off x="6156960" y="853440"/>
          <a:ext cx="456570" cy="4572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Relevance of quantity for total uncertainty</a:t>
          </a:r>
          <a:endParaRPr lang="de-DE" sz="7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7620</xdr:colOff>
      <xdr:row>289</xdr:row>
      <xdr:rowOff>0</xdr:rowOff>
    </xdr:from>
    <xdr:to>
      <xdr:col>30</xdr:col>
      <xdr:colOff>0</xdr:colOff>
      <xdr:row>290</xdr:row>
      <xdr:rowOff>0</xdr:rowOff>
    </xdr:to>
    <xdr:sp macro="" textlink="">
      <xdr:nvSpPr>
        <xdr:cNvPr id="26" name="Textfeld 16">
          <a:extLst>
            <a:ext uri="{FF2B5EF4-FFF2-40B4-BE49-F238E27FC236}">
              <a16:creationId xmlns:a16="http://schemas.microsoft.com/office/drawing/2014/main" id="{3E5A36FA-FC6A-46BC-9F7A-59867115E849}"/>
            </a:ext>
          </a:extLst>
        </xdr:cNvPr>
        <xdr:cNvSpPr txBox="1"/>
      </xdr:nvSpPr>
      <xdr:spPr>
        <a:xfrm>
          <a:off x="5768340" y="1310640"/>
          <a:ext cx="403860" cy="15240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de-DE" sz="800">
              <a:solidFill>
                <a:sysClr val="windowText" lastClr="000000"/>
              </a:solidFill>
              <a:latin typeface="Tahoma" panose="020B0604030504040204" pitchFamily="34" charset="0"/>
              <a:ea typeface="Tahoma" panose="020B0604030504040204" pitchFamily="34" charset="0"/>
              <a:cs typeface="Tahoma" panose="020B0604030504040204" pitchFamily="34" charset="0"/>
            </a:rPr>
            <a:t>relative </a:t>
          </a:r>
        </a:p>
      </xdr:txBody>
    </xdr:sp>
    <xdr:clientData/>
  </xdr:twoCellAnchor>
  <xdr:twoCellAnchor>
    <xdr:from>
      <xdr:col>17</xdr:col>
      <xdr:colOff>22860</xdr:colOff>
      <xdr:row>287</xdr:row>
      <xdr:rowOff>68580</xdr:rowOff>
    </xdr:from>
    <xdr:to>
      <xdr:col>20</xdr:col>
      <xdr:colOff>11430</xdr:colOff>
      <xdr:row>288</xdr:row>
      <xdr:rowOff>53340</xdr:rowOff>
    </xdr:to>
    <xdr:sp macro="" textlink="">
      <xdr:nvSpPr>
        <xdr:cNvPr id="27" name="Textfeld 15">
          <a:extLst>
            <a:ext uri="{FF2B5EF4-FFF2-40B4-BE49-F238E27FC236}">
              <a16:creationId xmlns:a16="http://schemas.microsoft.com/office/drawing/2014/main" id="{883DDD74-0E4B-4D68-A4A8-C1468FB08825}"/>
            </a:ext>
          </a:extLst>
        </xdr:cNvPr>
        <xdr:cNvSpPr txBox="1"/>
      </xdr:nvSpPr>
      <xdr:spPr>
        <a:xfrm>
          <a:off x="3520440" y="1074420"/>
          <a:ext cx="605790" cy="137160"/>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l"/>
          <a:r>
            <a:rPr lang="de-DE" sz="700">
              <a:solidFill>
                <a:sysClr val="windowText" lastClr="000000"/>
              </a:solidFill>
              <a:latin typeface="Tahoma" panose="020B0604030504040204" pitchFamily="34" charset="0"/>
              <a:ea typeface="Tahoma" panose="020B0604030504040204" pitchFamily="34" charset="0"/>
              <a:cs typeface="Tahoma" panose="020B0604030504040204" pitchFamily="34" charset="0"/>
            </a:rPr>
            <a:t>Category</a:t>
          </a:r>
        </a:p>
      </xdr:txBody>
    </xdr:sp>
    <xdr:clientData/>
  </xdr:twoCellAnchor>
  <xdr:twoCellAnchor>
    <xdr:from>
      <xdr:col>1</xdr:col>
      <xdr:colOff>0</xdr:colOff>
      <xdr:row>282</xdr:row>
      <xdr:rowOff>0</xdr:rowOff>
    </xdr:from>
    <xdr:to>
      <xdr:col>33</xdr:col>
      <xdr:colOff>0</xdr:colOff>
      <xdr:row>283</xdr:row>
      <xdr:rowOff>0</xdr:rowOff>
    </xdr:to>
    <xdr:sp macro="" textlink="">
      <xdr:nvSpPr>
        <xdr:cNvPr id="28" name="Rechteck 27">
          <a:extLst>
            <a:ext uri="{FF2B5EF4-FFF2-40B4-BE49-F238E27FC236}">
              <a16:creationId xmlns:a16="http://schemas.microsoft.com/office/drawing/2014/main" id="{47C33F78-0285-466A-86AF-A10A87EA2CF6}"/>
            </a:ext>
          </a:extLst>
        </xdr:cNvPr>
        <xdr:cNvSpPr/>
      </xdr:nvSpPr>
      <xdr:spPr>
        <a:xfrm>
          <a:off x="205740" y="9174480"/>
          <a:ext cx="6583680" cy="190500"/>
        </a:xfrm>
        <a:prstGeom prst="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fPrintsWithSheet="0"/>
  </xdr:twoCellAnchor>
  <xdr:twoCellAnchor editAs="oneCell">
    <xdr:from>
      <xdr:col>1</xdr:col>
      <xdr:colOff>102960</xdr:colOff>
      <xdr:row>213</xdr:row>
      <xdr:rowOff>88227</xdr:rowOff>
    </xdr:from>
    <xdr:to>
      <xdr:col>5</xdr:col>
      <xdr:colOff>0</xdr:colOff>
      <xdr:row>215</xdr:row>
      <xdr:rowOff>53340</xdr:rowOff>
    </xdr:to>
    <xdr:grpSp>
      <xdr:nvGrpSpPr>
        <xdr:cNvPr id="33" name="Gruppieren 32">
          <a:extLst>
            <a:ext uri="{FF2B5EF4-FFF2-40B4-BE49-F238E27FC236}">
              <a16:creationId xmlns:a16="http://schemas.microsoft.com/office/drawing/2014/main" id="{7CD1DBE4-99A2-4F6B-8819-D6AE541B8141}"/>
            </a:ext>
          </a:extLst>
        </xdr:cNvPr>
        <xdr:cNvGrpSpPr>
          <a:grpSpLocks noChangeAspect="1"/>
        </xdr:cNvGrpSpPr>
      </xdr:nvGrpSpPr>
      <xdr:grpSpPr>
        <a:xfrm>
          <a:off x="310778" y="282191"/>
          <a:ext cx="728313" cy="443094"/>
          <a:chOff x="373232" y="357554"/>
          <a:chExt cx="902866" cy="539261"/>
        </a:xfrm>
      </xdr:grpSpPr>
      <xdr:pic>
        <xdr:nvPicPr>
          <xdr:cNvPr id="34" name="Picture 1" descr="TABULA Logo small">
            <a:extLst>
              <a:ext uri="{FF2B5EF4-FFF2-40B4-BE49-F238E27FC236}">
                <a16:creationId xmlns:a16="http://schemas.microsoft.com/office/drawing/2014/main" id="{601192D5-421C-44A5-857E-F7A782F20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232" y="357554"/>
            <a:ext cx="902866" cy="53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 name="Textfeld 34">
            <a:extLst>
              <a:ext uri="{FF2B5EF4-FFF2-40B4-BE49-F238E27FC236}">
                <a16:creationId xmlns:a16="http://schemas.microsoft.com/office/drawing/2014/main" id="{603595AE-AF8D-4341-971B-619B4B4DE3E8}"/>
              </a:ext>
            </a:extLst>
          </xdr:cNvPr>
          <xdr:cNvSpPr txBox="1"/>
        </xdr:nvSpPr>
        <xdr:spPr>
          <a:xfrm>
            <a:off x="702551" y="734452"/>
            <a:ext cx="469172" cy="10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de-DE" sz="700" b="0">
                <a:solidFill>
                  <a:schemeClr val="bg1"/>
                </a:solidFill>
                <a:latin typeface="Comic Sans MS" panose="030F0702030302020204" pitchFamily="66" charset="0"/>
              </a:rPr>
              <a:t>Method</a:t>
            </a:r>
          </a:p>
        </xdr:txBody>
      </xdr:sp>
    </xdr:grpSp>
    <xdr:clientData/>
  </xdr:twoCellAnchor>
  <xdr:oneCellAnchor>
    <xdr:from>
      <xdr:col>1</xdr:col>
      <xdr:colOff>102960</xdr:colOff>
      <xdr:row>283</xdr:row>
      <xdr:rowOff>88227</xdr:rowOff>
    </xdr:from>
    <xdr:ext cx="720000" cy="437553"/>
    <xdr:grpSp>
      <xdr:nvGrpSpPr>
        <xdr:cNvPr id="36" name="Gruppieren 35">
          <a:extLst>
            <a:ext uri="{FF2B5EF4-FFF2-40B4-BE49-F238E27FC236}">
              <a16:creationId xmlns:a16="http://schemas.microsoft.com/office/drawing/2014/main" id="{CF75AC89-A0A7-4A92-A48D-D30CE35EBDBE}"/>
            </a:ext>
          </a:extLst>
        </xdr:cNvPr>
        <xdr:cNvGrpSpPr>
          <a:grpSpLocks noChangeAspect="1"/>
        </xdr:cNvGrpSpPr>
      </xdr:nvGrpSpPr>
      <xdr:grpSpPr>
        <a:xfrm>
          <a:off x="310778" y="9924954"/>
          <a:ext cx="720000" cy="437553"/>
          <a:chOff x="373232" y="357554"/>
          <a:chExt cx="902866" cy="539261"/>
        </a:xfrm>
      </xdr:grpSpPr>
      <xdr:pic>
        <xdr:nvPicPr>
          <xdr:cNvPr id="37" name="Picture 1" descr="TABULA Logo small">
            <a:extLst>
              <a:ext uri="{FF2B5EF4-FFF2-40B4-BE49-F238E27FC236}">
                <a16:creationId xmlns:a16="http://schemas.microsoft.com/office/drawing/2014/main" id="{6A22D1F6-313F-456A-AF6D-6F9F9546C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232" y="357554"/>
            <a:ext cx="902866" cy="53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8" name="Textfeld 37">
            <a:extLst>
              <a:ext uri="{FF2B5EF4-FFF2-40B4-BE49-F238E27FC236}">
                <a16:creationId xmlns:a16="http://schemas.microsoft.com/office/drawing/2014/main" id="{5F4B823D-9688-46C2-8CC4-B06FC1D9E2FB}"/>
              </a:ext>
            </a:extLst>
          </xdr:cNvPr>
          <xdr:cNvSpPr txBox="1"/>
        </xdr:nvSpPr>
        <xdr:spPr>
          <a:xfrm>
            <a:off x="702551" y="734452"/>
            <a:ext cx="469172" cy="10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de-DE" sz="700" b="0">
                <a:solidFill>
                  <a:schemeClr val="bg1"/>
                </a:solidFill>
                <a:latin typeface="Comic Sans MS" panose="030F0702030302020204" pitchFamily="66" charset="0"/>
              </a:rPr>
              <a:t>Method</a:t>
            </a:r>
          </a:p>
        </xdr:txBody>
      </xdr:sp>
    </xdr:grp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952500</xdr:colOff>
      <xdr:row>1</xdr:row>
      <xdr:rowOff>352425</xdr:rowOff>
    </xdr:from>
    <xdr:to>
      <xdr:col>1</xdr:col>
      <xdr:colOff>0</xdr:colOff>
      <xdr:row>3</xdr:row>
      <xdr:rowOff>0</xdr:rowOff>
    </xdr:to>
    <xdr:sp macro="" textlink="">
      <xdr:nvSpPr>
        <xdr:cNvPr id="2" name="Textfeld 1">
          <a:extLst>
            <a:ext uri="{FF2B5EF4-FFF2-40B4-BE49-F238E27FC236}">
              <a16:creationId xmlns:a16="http://schemas.microsoft.com/office/drawing/2014/main" id="{63046D58-09FA-4CEC-AF03-9D719B717944}"/>
            </a:ext>
          </a:extLst>
        </xdr:cNvPr>
        <xdr:cNvSpPr txBox="1"/>
      </xdr:nvSpPr>
      <xdr:spPr>
        <a:xfrm>
          <a:off x="952500" y="866775"/>
          <a:ext cx="1771650" cy="981075"/>
        </a:xfrm>
        <a:prstGeom prst="rect">
          <a:avLst/>
        </a:prstGeom>
        <a:solidFill>
          <a:srgbClr val="FFFFFF">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solidFill>
                <a:srgbClr val="FF0000"/>
              </a:solidFill>
            </a:rPr>
            <a:t>Table pasted </a:t>
          </a:r>
          <a:r>
            <a:rPr lang="de-DE" sz="800" baseline="0">
              <a:solidFill>
                <a:srgbClr val="FF0000"/>
              </a:solidFill>
            </a:rPr>
            <a:t>from</a:t>
          </a:r>
          <a:br>
            <a:rPr lang="de-DE" sz="800" baseline="0">
              <a:solidFill>
                <a:srgbClr val="FF0000"/>
              </a:solidFill>
            </a:rPr>
          </a:br>
          <a:r>
            <a:rPr lang="de-DE" sz="800" baseline="0">
              <a:solidFill>
                <a:srgbClr val="FF0000"/>
              </a:solidFill>
            </a:rPr>
            <a:t>tabula-values.xlsx:</a:t>
          </a:r>
          <a:br>
            <a:rPr lang="de-DE" sz="800" baseline="0">
              <a:solidFill>
                <a:srgbClr val="FF0000"/>
              </a:solidFill>
            </a:rPr>
          </a:br>
          <a:r>
            <a:rPr lang="de-DE" sz="800" baseline="0">
              <a:solidFill>
                <a:srgbClr val="FF0000"/>
              </a:solidFill>
            </a:rPr>
            <a:t>2021-03-21</a:t>
          </a:r>
          <a:endParaRPr lang="de-DE" sz="800" b="0" i="0" u="none" strike="noStrike" baseline="0">
            <a:solidFill>
              <a:srgbClr val="FF0000"/>
            </a:solidFill>
            <a:effectLst/>
            <a:latin typeface="+mn-lt"/>
            <a:ea typeface="+mn-ea"/>
            <a:cs typeface="+mn-cs"/>
          </a:endParaRPr>
        </a:p>
        <a:p>
          <a:endParaRPr lang="de-DE" sz="800" b="0" i="0" u="none" strike="noStrike" baseline="0">
            <a:solidFill>
              <a:srgbClr val="FF0000"/>
            </a:solidFill>
            <a:effectLst/>
            <a:latin typeface="+mn-lt"/>
            <a:ea typeface="+mn-ea"/>
            <a:cs typeface="+mn-cs"/>
          </a:endParaRPr>
        </a:p>
        <a:p>
          <a:r>
            <a:rPr lang="de-DE" sz="800" b="0" i="0" u="none" strike="noStrike" baseline="0">
              <a:solidFill>
                <a:srgbClr val="FF0000"/>
              </a:solidFill>
              <a:effectLst/>
              <a:latin typeface="+mn-lt"/>
              <a:ea typeface="+mn-ea"/>
              <a:cs typeface="+mn-cs"/>
            </a:rPr>
            <a:t>Change datafield names:</a:t>
          </a:r>
        </a:p>
        <a:p>
          <a:r>
            <a:rPr lang="de-DE" sz="800" b="0" i="0" u="none" strike="noStrike" baseline="0">
              <a:solidFill>
                <a:srgbClr val="FF0000"/>
              </a:solidFill>
              <a:effectLst/>
              <a:latin typeface="+mn-lt"/>
              <a:ea typeface="+mn-ea"/>
              <a:cs typeface="+mn-cs"/>
            </a:rPr>
            <a:t>"_Default" (old version) -&gt; "_NA" </a:t>
          </a:r>
          <a:endParaRPr lang="de-DE" sz="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1181100</xdr:colOff>
      <xdr:row>1</xdr:row>
      <xdr:rowOff>495300</xdr:rowOff>
    </xdr:from>
    <xdr:to>
      <xdr:col>1</xdr:col>
      <xdr:colOff>0</xdr:colOff>
      <xdr:row>2</xdr:row>
      <xdr:rowOff>485775</xdr:rowOff>
    </xdr:to>
    <xdr:sp macro="" textlink="">
      <xdr:nvSpPr>
        <xdr:cNvPr id="2" name="Textfeld 1">
          <a:extLst>
            <a:ext uri="{FF2B5EF4-FFF2-40B4-BE49-F238E27FC236}">
              <a16:creationId xmlns:a16="http://schemas.microsoft.com/office/drawing/2014/main" id="{4EBA54A0-1094-40F8-B60A-C4C207367F67}"/>
            </a:ext>
          </a:extLst>
        </xdr:cNvPr>
        <xdr:cNvSpPr txBox="1"/>
      </xdr:nvSpPr>
      <xdr:spPr>
        <a:xfrm>
          <a:off x="1181100" y="1143000"/>
          <a:ext cx="1485900" cy="657225"/>
        </a:xfrm>
        <a:prstGeom prst="rect">
          <a:avLst/>
        </a:prstGeom>
        <a:solidFill>
          <a:srgbClr val="FFFFFF">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solidFill>
                <a:srgbClr val="FF0000"/>
              </a:solidFill>
            </a:rPr>
            <a:t>Data</a:t>
          </a:r>
          <a:r>
            <a:rPr lang="de-DE" sz="800" baseline="0">
              <a:solidFill>
                <a:srgbClr val="FF0000"/>
              </a:solidFill>
            </a:rPr>
            <a:t> import from</a:t>
          </a:r>
          <a:br>
            <a:rPr lang="de-DE" sz="800" baseline="0">
              <a:solidFill>
                <a:srgbClr val="FF0000"/>
              </a:solidFill>
            </a:rPr>
          </a:br>
          <a:r>
            <a:rPr lang="de-DE" sz="800" baseline="0">
              <a:solidFill>
                <a:srgbClr val="FF0000"/>
              </a:solidFill>
            </a:rPr>
            <a:t>tabula-values.xlsx:</a:t>
          </a:r>
          <a:br>
            <a:rPr lang="de-DE" sz="800" baseline="0">
              <a:solidFill>
                <a:srgbClr val="FF0000"/>
              </a:solidFill>
            </a:rPr>
          </a:br>
          <a:r>
            <a:rPr lang="de-DE" sz="800" baseline="0">
              <a:solidFill>
                <a:srgbClr val="FF0000"/>
              </a:solidFill>
            </a:rPr>
            <a:t>2021-03-21</a:t>
          </a:r>
          <a:endParaRPr lang="de-DE" sz="8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1181100</xdr:colOff>
      <xdr:row>1</xdr:row>
      <xdr:rowOff>333375</xdr:rowOff>
    </xdr:from>
    <xdr:to>
      <xdr:col>1</xdr:col>
      <xdr:colOff>0</xdr:colOff>
      <xdr:row>2</xdr:row>
      <xdr:rowOff>327660</xdr:rowOff>
    </xdr:to>
    <xdr:sp macro="" textlink="">
      <xdr:nvSpPr>
        <xdr:cNvPr id="2" name="Textfeld 1">
          <a:extLst>
            <a:ext uri="{FF2B5EF4-FFF2-40B4-BE49-F238E27FC236}">
              <a16:creationId xmlns:a16="http://schemas.microsoft.com/office/drawing/2014/main" id="{86F17AE8-B3DF-41E3-A78A-DA7086D6DD49}"/>
            </a:ext>
          </a:extLst>
        </xdr:cNvPr>
        <xdr:cNvSpPr txBox="1"/>
      </xdr:nvSpPr>
      <xdr:spPr>
        <a:xfrm>
          <a:off x="1181100" y="851535"/>
          <a:ext cx="1485900" cy="657225"/>
        </a:xfrm>
        <a:prstGeom prst="rect">
          <a:avLst/>
        </a:prstGeom>
        <a:solidFill>
          <a:srgbClr val="FFFFFF">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solidFill>
                <a:srgbClr val="FF0000"/>
              </a:solidFill>
            </a:rPr>
            <a:t>Data</a:t>
          </a:r>
          <a:r>
            <a:rPr lang="de-DE" sz="800" baseline="0">
              <a:solidFill>
                <a:srgbClr val="FF0000"/>
              </a:solidFill>
            </a:rPr>
            <a:t> import from</a:t>
          </a:r>
          <a:br>
            <a:rPr lang="de-DE" sz="800" baseline="0">
              <a:solidFill>
                <a:srgbClr val="FF0000"/>
              </a:solidFill>
            </a:rPr>
          </a:br>
          <a:r>
            <a:rPr lang="de-DE" sz="800" baseline="0">
              <a:solidFill>
                <a:srgbClr val="FF0000"/>
              </a:solidFill>
            </a:rPr>
            <a:t>tabula-values.xlsx:</a:t>
          </a:r>
          <a:br>
            <a:rPr lang="de-DE" sz="800" baseline="0">
              <a:solidFill>
                <a:srgbClr val="FF0000"/>
              </a:solidFill>
            </a:rPr>
          </a:br>
          <a:r>
            <a:rPr lang="de-DE" sz="800" baseline="0">
              <a:solidFill>
                <a:srgbClr val="FF0000"/>
              </a:solidFill>
            </a:rPr>
            <a:t>2021-03-21</a:t>
          </a:r>
          <a:endParaRPr lang="de-DE" sz="8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1181100</xdr:colOff>
      <xdr:row>1</xdr:row>
      <xdr:rowOff>219075</xdr:rowOff>
    </xdr:from>
    <xdr:to>
      <xdr:col>1</xdr:col>
      <xdr:colOff>0</xdr:colOff>
      <xdr:row>3</xdr:row>
      <xdr:rowOff>0</xdr:rowOff>
    </xdr:to>
    <xdr:sp macro="" textlink="">
      <xdr:nvSpPr>
        <xdr:cNvPr id="2" name="Textfeld 1">
          <a:extLst>
            <a:ext uri="{FF2B5EF4-FFF2-40B4-BE49-F238E27FC236}">
              <a16:creationId xmlns:a16="http://schemas.microsoft.com/office/drawing/2014/main" id="{8D946AF3-137B-4E04-83C3-2D89A0002643}"/>
            </a:ext>
          </a:extLst>
        </xdr:cNvPr>
        <xdr:cNvSpPr txBox="1"/>
      </xdr:nvSpPr>
      <xdr:spPr>
        <a:xfrm>
          <a:off x="1181100" y="609600"/>
          <a:ext cx="1485900" cy="657225"/>
        </a:xfrm>
        <a:prstGeom prst="rect">
          <a:avLst/>
        </a:prstGeom>
        <a:solidFill>
          <a:srgbClr val="FFFFFF">
            <a:alpha val="5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solidFill>
                <a:srgbClr val="FF0000"/>
              </a:solidFill>
            </a:rPr>
            <a:t>Data</a:t>
          </a:r>
          <a:r>
            <a:rPr lang="de-DE" sz="800" baseline="0">
              <a:solidFill>
                <a:srgbClr val="FF0000"/>
              </a:solidFill>
            </a:rPr>
            <a:t> import from</a:t>
          </a:r>
          <a:br>
            <a:rPr lang="de-DE" sz="800" baseline="0">
              <a:solidFill>
                <a:srgbClr val="FF0000"/>
              </a:solidFill>
            </a:rPr>
          </a:br>
          <a:r>
            <a:rPr lang="de-DE" sz="800" baseline="0">
              <a:solidFill>
                <a:srgbClr val="FF0000"/>
              </a:solidFill>
            </a:rPr>
            <a:t>tabula-values.xlsx:</a:t>
          </a:r>
          <a:br>
            <a:rPr lang="de-DE" sz="800" baseline="0">
              <a:solidFill>
                <a:srgbClr val="FF0000"/>
              </a:solidFill>
            </a:rPr>
          </a:br>
          <a:r>
            <a:rPr lang="de-DE" sz="800" baseline="0">
              <a:solidFill>
                <a:srgbClr val="FF0000"/>
              </a:solidFill>
            </a:rPr>
            <a:t>2021-03-21</a:t>
          </a:r>
          <a:endParaRPr lang="de-DE" sz="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L/TABULA/EnergyProfile/Work/Data/Building-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L/TABULA/EnergyProfile/Analyses/Benchmarks/EnergyProfile-Analyses-Benchmar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xy CalcMeter hw"/>
      <sheetName val="d.xy CalcMeter h"/>
      <sheetName val="d.xy CalcMeter w"/>
      <sheetName val="d.freq(m²) - Liter w"/>
      <sheetName val="d.freq(n) - Liter w"/>
      <sheetName val="Benchmarks"/>
      <sheetName val="G.Bar.CalcMeter.HW"/>
      <sheetName val="G.Bar.CalcMeter.H"/>
      <sheetName val="G.Data.Bar.CalcMeter.HW"/>
      <sheetName val="G.Data.Bar.CalcMeter.H"/>
      <sheetName val="Data.Charts"/>
      <sheetName val="Info"/>
      <sheetName val="Data.Admin"/>
      <sheetName val="Data.Building"/>
      <sheetName val="Tab.Result"/>
      <sheetName val="Docu"/>
      <sheetName val="Codes"/>
      <sheetName val="Data.Var.Building"/>
      <sheetName val="ALT Data.Var.Building"/>
      <sheetName val="Data.Var.CalcResults"/>
      <sheetName val="Analyses.Internal"/>
      <sheetName val="Info.Intern"/>
      <sheetName val="ÜBERHOLT G.Bar.CalcMeter.H"/>
      <sheetName val="Temp Backup d.xy - hw"/>
      <sheetName val="Temp Backup d.xy - h"/>
      <sheetName val="Temp Backup d.xy - w"/>
      <sheetName val="Temp BU d.freq(n) - Liter w"/>
    </sheetNames>
    <sheetDataSet>
      <sheetData sheetId="0">
        <row r="7">
          <cell r="J7">
            <v>1</v>
          </cell>
        </row>
        <row r="20">
          <cell r="J20">
            <v>1</v>
          </cell>
        </row>
        <row r="26">
          <cell r="J26">
            <v>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xy.1 InsulationMeter"/>
      <sheetName val="d.xy.2 h_tr_ve Meter"/>
      <sheetName val="Charts"/>
      <sheetName val="Data"/>
      <sheetName val="Tab.Benchmark"/>
    </sheetNames>
    <sheetDataSet>
      <sheetData sheetId="0">
        <row r="10">
          <cell r="E10" t="str">
            <v>Brennstoffe oder Wärmemengen</v>
          </cell>
        </row>
        <row r="16">
          <cell r="E16" t="str">
            <v>H+W</v>
          </cell>
        </row>
        <row r="22">
          <cell r="E22" t="str">
            <v>2017 2018</v>
          </cell>
        </row>
        <row r="28">
          <cell r="E28" t="str">
            <v>&lt;H+W&gt; 2017 2018</v>
          </cell>
        </row>
        <row r="34">
          <cell r="E34" t="str">
            <v>Heizung und Warmwasser</v>
          </cell>
        </row>
        <row r="40">
          <cell r="E40" t="str">
            <v>Wärmeleitwert Gebäude pro m² Wohnfläche [W/(m²K)]</v>
          </cell>
        </row>
        <row r="46">
          <cell r="E46"/>
        </row>
      </sheetData>
      <sheetData sheetId="1" refreshError="1"/>
      <sheetData sheetId="2" refreshError="1"/>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enbasis.iwu.de/" TargetMode="External"/><Relationship Id="rId7" Type="http://schemas.openxmlformats.org/officeDocument/2006/relationships/hyperlink" Target="http://www.iwu.de/forschung/energie/2017/mobasy/" TargetMode="External"/><Relationship Id="rId2" Type="http://schemas.openxmlformats.org/officeDocument/2006/relationships/hyperlink" Target="https://www.eceee.org/summerstudy/" TargetMode="External"/><Relationship Id="rId1" Type="http://schemas.openxmlformats.org/officeDocument/2006/relationships/hyperlink" Target="https://www.iwu.de/fileadmin/publikationen/energie/mobasy/2021_IWU_LogaEtAl_MOBASY-Realbilanzierung-Verbrauch-Bedarf-Vergleich.pdf" TargetMode="External"/><Relationship Id="rId6" Type="http://schemas.openxmlformats.org/officeDocument/2006/relationships/hyperlink" Target="https://www.iwu.de/fileadmin/user_upload/dateien/energie/werkzeuge/ephw-toolbox.pdf" TargetMode="External"/><Relationship Id="rId5" Type="http://schemas.openxmlformats.org/officeDocument/2006/relationships/hyperlink" Target="https://www.episcope.eu/building-typology/tabula-structure/calculation/" TargetMode="External"/><Relationship Id="rId4" Type="http://schemas.openxmlformats.org/officeDocument/2006/relationships/hyperlink" Target="https://www.iwu.de/fileadmin/user_upload/dateien/energie/Endbericht_Datenerhebung_Wohngeb%C3%A4udebestand_2016.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image" Target="../media/image5.png"/></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11"/>
  <sheetViews>
    <sheetView showGridLines="0" tabSelected="1" zoomScale="80" zoomScaleNormal="80" workbookViewId="0">
      <selection activeCell="W25" sqref="W25"/>
    </sheetView>
  </sheetViews>
  <sheetFormatPr baseColWidth="10" defaultColWidth="11.42578125" defaultRowHeight="10.199999999999999"/>
  <cols>
    <col min="1" max="3" width="3.7109375" customWidth="1"/>
    <col min="4" max="21" width="6.140625" customWidth="1"/>
    <col min="22" max="22" width="3.85546875" customWidth="1"/>
    <col min="23" max="23" width="3.7109375" customWidth="1"/>
  </cols>
  <sheetData>
    <row r="1" spans="1:42" s="47" customFormat="1">
      <c r="A1" s="42"/>
      <c r="B1" s="42"/>
      <c r="C1" s="42"/>
      <c r="D1" s="42"/>
      <c r="E1" s="42"/>
      <c r="F1" s="42"/>
      <c r="G1" s="43"/>
      <c r="H1" s="43"/>
      <c r="I1" s="44"/>
      <c r="J1" s="44"/>
      <c r="K1" s="45"/>
      <c r="L1" s="45"/>
      <c r="M1" s="45"/>
      <c r="N1" s="45"/>
      <c r="O1" s="45"/>
      <c r="P1" s="45"/>
      <c r="Q1" s="45"/>
      <c r="R1" s="45"/>
      <c r="S1" s="45"/>
      <c r="T1" s="45"/>
      <c r="U1" s="42"/>
      <c r="V1" s="42"/>
      <c r="W1" s="46"/>
    </row>
    <row r="2" spans="1:42" s="47" customFormat="1">
      <c r="A2" s="42"/>
      <c r="B2" s="48" t="s">
        <v>2387</v>
      </c>
      <c r="C2" s="48"/>
      <c r="D2" s="48"/>
      <c r="E2" s="48"/>
      <c r="F2" s="48"/>
      <c r="G2" s="49"/>
      <c r="H2" s="49"/>
      <c r="I2" s="50"/>
      <c r="J2" s="50"/>
      <c r="K2" s="51"/>
      <c r="L2" s="51"/>
      <c r="M2" s="51"/>
      <c r="N2" s="51"/>
      <c r="O2" s="51"/>
      <c r="P2" s="51"/>
      <c r="Q2" s="51"/>
      <c r="R2" s="51"/>
      <c r="S2" s="51"/>
      <c r="T2" s="52" t="s">
        <v>2352</v>
      </c>
      <c r="U2" s="272">
        <f>Date_WorkbookVersion</f>
        <v>44330</v>
      </c>
      <c r="V2" s="272"/>
      <c r="W2" s="46"/>
    </row>
    <row r="3" spans="1:42" s="47" customFormat="1" ht="22.8" customHeight="1">
      <c r="A3" s="42"/>
      <c r="B3" s="218"/>
      <c r="C3" s="219" t="s">
        <v>2406</v>
      </c>
      <c r="D3" s="218"/>
      <c r="E3" s="218"/>
      <c r="F3" s="218"/>
      <c r="G3" s="218"/>
      <c r="H3" s="218"/>
      <c r="I3" s="218"/>
      <c r="J3" s="218"/>
      <c r="K3" s="218"/>
      <c r="L3" s="220"/>
      <c r="M3" s="221"/>
      <c r="N3" s="218"/>
      <c r="O3" s="218"/>
      <c r="P3" s="218"/>
      <c r="Q3" s="218"/>
      <c r="R3" s="218"/>
      <c r="S3" s="218"/>
      <c r="T3" s="218"/>
      <c r="U3" s="236" t="s">
        <v>2407</v>
      </c>
      <c r="V3" s="232"/>
      <c r="W3" s="53"/>
      <c r="AP3" s="54" t="s">
        <v>312</v>
      </c>
    </row>
    <row r="4" spans="1:42" s="47" customFormat="1" ht="4.8" customHeight="1">
      <c r="A4" s="42"/>
      <c r="B4" s="215"/>
      <c r="C4" s="215"/>
      <c r="D4" s="216"/>
      <c r="E4" s="216"/>
      <c r="F4" s="216"/>
      <c r="G4" s="216"/>
      <c r="H4" s="216"/>
      <c r="I4" s="216"/>
      <c r="J4" s="216"/>
      <c r="K4" s="216"/>
      <c r="L4" s="216"/>
      <c r="M4" s="216"/>
      <c r="N4" s="216"/>
      <c r="O4" s="216"/>
      <c r="P4" s="216"/>
      <c r="Q4" s="216"/>
      <c r="R4" s="216"/>
      <c r="S4" s="216"/>
      <c r="T4" s="216"/>
      <c r="U4" s="216"/>
      <c r="V4" s="216"/>
      <c r="W4" s="53"/>
    </row>
    <row r="5" spans="1:42" s="47" customFormat="1" ht="14.4" customHeight="1">
      <c r="A5" s="42"/>
      <c r="B5" s="215"/>
      <c r="C5" s="278" t="s">
        <v>2354</v>
      </c>
      <c r="D5" s="278"/>
      <c r="E5" s="278"/>
      <c r="F5" s="278"/>
      <c r="G5" s="278"/>
      <c r="H5" s="278"/>
      <c r="I5" s="278"/>
      <c r="J5" s="278"/>
      <c r="K5" s="278"/>
      <c r="L5" s="278"/>
      <c r="M5" s="278"/>
      <c r="N5" s="278"/>
      <c r="O5" s="278"/>
      <c r="P5" s="278"/>
      <c r="Q5" s="278"/>
      <c r="R5" s="278"/>
      <c r="S5" s="278"/>
      <c r="T5" s="216"/>
      <c r="U5" s="216"/>
      <c r="V5" s="216"/>
      <c r="W5" s="53"/>
    </row>
    <row r="6" spans="1:42" s="47" customFormat="1" ht="14.4" customHeight="1">
      <c r="A6" s="42"/>
      <c r="B6" s="217"/>
      <c r="C6" s="278"/>
      <c r="D6" s="278"/>
      <c r="E6" s="278"/>
      <c r="F6" s="278"/>
      <c r="G6" s="278"/>
      <c r="H6" s="278"/>
      <c r="I6" s="278"/>
      <c r="J6" s="278"/>
      <c r="K6" s="278"/>
      <c r="L6" s="278"/>
      <c r="M6" s="278"/>
      <c r="N6" s="278"/>
      <c r="O6" s="278"/>
      <c r="P6" s="278"/>
      <c r="Q6" s="278"/>
      <c r="R6" s="278"/>
      <c r="S6" s="278"/>
      <c r="T6" s="216"/>
      <c r="U6" s="216"/>
      <c r="V6" s="216"/>
      <c r="W6" s="53"/>
    </row>
    <row r="7" spans="1:42" s="47" customFormat="1" ht="4.8" customHeight="1">
      <c r="A7" s="42"/>
      <c r="B7" s="216"/>
      <c r="C7" s="216"/>
      <c r="D7" s="216"/>
      <c r="E7" s="216"/>
      <c r="F7" s="216"/>
      <c r="G7" s="216"/>
      <c r="H7" s="216"/>
      <c r="I7" s="216"/>
      <c r="J7" s="216"/>
      <c r="K7" s="216"/>
      <c r="L7" s="216"/>
      <c r="M7" s="216"/>
      <c r="N7" s="216"/>
      <c r="O7" s="216"/>
      <c r="P7" s="216"/>
      <c r="Q7" s="216"/>
      <c r="R7" s="216"/>
      <c r="S7" s="216"/>
      <c r="T7" s="216"/>
      <c r="U7" s="216"/>
      <c r="V7" s="216"/>
      <c r="W7" s="53"/>
    </row>
    <row r="8" spans="1:42">
      <c r="A8" s="55"/>
      <c r="B8" s="55"/>
      <c r="C8" s="55"/>
      <c r="D8" s="55"/>
      <c r="E8" s="55"/>
      <c r="F8" s="55"/>
      <c r="G8" s="55"/>
      <c r="H8" s="55"/>
      <c r="I8" s="55"/>
      <c r="J8" s="55"/>
      <c r="K8" s="55"/>
      <c r="L8" s="55"/>
      <c r="M8" s="55"/>
      <c r="N8" s="55"/>
      <c r="O8" s="55"/>
      <c r="P8" s="55"/>
      <c r="Q8" s="55"/>
      <c r="R8" s="55"/>
      <c r="S8" s="55"/>
      <c r="T8" s="55"/>
      <c r="U8" s="55"/>
      <c r="V8" s="55"/>
      <c r="W8" s="55"/>
    </row>
    <row r="9" spans="1:42" ht="13.2">
      <c r="A9" s="55"/>
      <c r="B9" s="218" t="s">
        <v>311</v>
      </c>
      <c r="C9" s="218"/>
      <c r="D9" s="218"/>
      <c r="E9" s="218"/>
      <c r="F9" s="218"/>
      <c r="G9" s="218"/>
      <c r="H9" s="218"/>
      <c r="I9" s="218"/>
      <c r="J9" s="218"/>
      <c r="K9" s="218"/>
      <c r="L9" s="218"/>
      <c r="M9" s="218"/>
      <c r="N9" s="218"/>
      <c r="O9" s="218"/>
      <c r="P9" s="218"/>
      <c r="Q9" s="218"/>
      <c r="R9" s="218"/>
      <c r="S9" s="218"/>
      <c r="T9" s="218"/>
      <c r="U9" s="218"/>
      <c r="V9" s="218"/>
      <c r="W9" s="224"/>
    </row>
    <row r="10" spans="1:42" ht="13.2">
      <c r="A10" s="55"/>
      <c r="B10" s="224"/>
      <c r="C10" s="224"/>
      <c r="D10" s="224"/>
      <c r="E10" s="224"/>
      <c r="F10" s="224"/>
      <c r="G10" s="224"/>
      <c r="H10" s="224"/>
      <c r="I10" s="224"/>
      <c r="J10" s="224"/>
      <c r="K10" s="224"/>
      <c r="L10" s="224"/>
      <c r="M10" s="224"/>
      <c r="N10" s="224"/>
      <c r="O10" s="224"/>
      <c r="P10" s="224"/>
      <c r="Q10" s="224"/>
      <c r="R10" s="224"/>
      <c r="S10" s="224"/>
      <c r="T10" s="224"/>
      <c r="U10" s="224"/>
      <c r="V10" s="224"/>
      <c r="W10" s="224"/>
    </row>
    <row r="11" spans="1:42" ht="13.2">
      <c r="A11" s="55"/>
      <c r="B11" s="224"/>
      <c r="C11" s="227" t="s">
        <v>2377</v>
      </c>
      <c r="D11" s="224"/>
      <c r="E11" s="224"/>
      <c r="F11" s="224"/>
      <c r="G11" s="224"/>
      <c r="H11" s="224"/>
      <c r="I11" s="224"/>
      <c r="J11" s="224"/>
      <c r="K11" s="224"/>
      <c r="L11" s="224"/>
      <c r="M11" s="224"/>
      <c r="N11" s="224"/>
      <c r="O11" s="224"/>
      <c r="P11" s="224"/>
      <c r="Q11" s="224"/>
      <c r="R11" s="224"/>
      <c r="S11" s="224"/>
      <c r="T11" s="224"/>
      <c r="U11" s="224"/>
      <c r="V11" s="224"/>
      <c r="W11" s="224"/>
    </row>
    <row r="12" spans="1:42" ht="13.2">
      <c r="A12" s="55"/>
      <c r="B12" s="224"/>
      <c r="C12" s="227"/>
      <c r="D12" s="224"/>
      <c r="E12" s="224"/>
      <c r="F12" s="224"/>
      <c r="G12" s="224"/>
      <c r="H12" s="224"/>
      <c r="I12" s="224"/>
      <c r="J12" s="224"/>
      <c r="K12" s="224"/>
      <c r="L12" s="224"/>
      <c r="M12" s="224"/>
      <c r="N12" s="224"/>
      <c r="O12" s="224"/>
      <c r="P12" s="224"/>
      <c r="Q12" s="224"/>
      <c r="R12" s="224"/>
      <c r="S12" s="224"/>
      <c r="T12" s="224"/>
      <c r="U12" s="224"/>
      <c r="V12" s="224"/>
      <c r="W12" s="224"/>
    </row>
    <row r="13" spans="1:42" ht="13.2">
      <c r="A13" s="55"/>
      <c r="B13" s="224"/>
      <c r="C13" s="224"/>
      <c r="D13" s="224"/>
      <c r="E13" s="224"/>
      <c r="F13" s="224"/>
      <c r="G13" s="224"/>
      <c r="H13" s="224"/>
      <c r="I13" s="224"/>
      <c r="J13" s="224"/>
      <c r="K13" s="224"/>
      <c r="L13" s="224"/>
      <c r="M13" s="224"/>
      <c r="N13" s="224"/>
      <c r="O13" s="224"/>
      <c r="P13" s="224"/>
      <c r="Q13" s="224"/>
      <c r="R13" s="224"/>
      <c r="S13" s="224"/>
      <c r="T13" s="224"/>
      <c r="U13" s="224"/>
      <c r="V13" s="224"/>
      <c r="W13" s="224"/>
    </row>
    <row r="14" spans="1:42" ht="13.2">
      <c r="A14" s="55"/>
      <c r="B14" s="224"/>
      <c r="C14" s="224"/>
      <c r="D14" s="224"/>
      <c r="E14" s="224"/>
      <c r="F14" s="224"/>
      <c r="G14" s="224"/>
      <c r="H14" s="224"/>
      <c r="I14" s="224"/>
      <c r="J14" s="224"/>
      <c r="K14" s="224"/>
      <c r="L14" s="224"/>
      <c r="M14" s="224"/>
      <c r="N14" s="224"/>
      <c r="O14" s="224"/>
      <c r="P14" s="224"/>
      <c r="Q14" s="224"/>
      <c r="R14" s="224"/>
      <c r="S14" s="224"/>
      <c r="T14" s="224"/>
      <c r="U14" s="224"/>
      <c r="V14" s="224"/>
      <c r="W14" s="224"/>
    </row>
    <row r="15" spans="1:42" ht="13.2">
      <c r="A15" s="55"/>
      <c r="B15" s="224"/>
      <c r="C15" s="224"/>
      <c r="D15" s="224"/>
      <c r="E15" s="224"/>
      <c r="F15" s="224"/>
      <c r="G15" s="224"/>
      <c r="H15" s="224"/>
      <c r="I15" s="224"/>
      <c r="J15" s="224"/>
      <c r="K15" s="224"/>
      <c r="L15" s="224"/>
      <c r="M15" s="224"/>
      <c r="N15" s="224"/>
      <c r="O15" s="224"/>
      <c r="P15" s="224"/>
      <c r="Q15" s="224"/>
      <c r="R15" s="224"/>
      <c r="S15" s="224"/>
      <c r="T15" s="224"/>
      <c r="U15" s="224"/>
      <c r="V15" s="224"/>
      <c r="W15" s="224"/>
    </row>
    <row r="16" spans="1:42" ht="13.2">
      <c r="A16" s="55"/>
      <c r="B16" s="224"/>
      <c r="C16" s="224"/>
      <c r="D16" s="224"/>
      <c r="E16" s="224"/>
      <c r="F16" s="224"/>
      <c r="G16" s="224"/>
      <c r="H16" s="224"/>
      <c r="I16" s="224"/>
      <c r="J16" s="224"/>
      <c r="K16" s="224"/>
      <c r="L16" s="224"/>
      <c r="M16" s="224"/>
      <c r="N16" s="224"/>
      <c r="O16" s="224"/>
      <c r="P16" s="224"/>
      <c r="Q16" s="224"/>
      <c r="R16" s="224"/>
      <c r="S16" s="224"/>
      <c r="T16" s="224"/>
      <c r="U16" s="224"/>
      <c r="V16" s="224"/>
      <c r="W16" s="224"/>
    </row>
    <row r="17" spans="1:23" ht="13.2">
      <c r="A17" s="55"/>
      <c r="B17" s="224"/>
      <c r="C17" s="224"/>
      <c r="D17" s="224"/>
      <c r="E17" s="224"/>
      <c r="F17" s="224"/>
      <c r="G17" s="224"/>
      <c r="H17" s="224"/>
      <c r="I17" s="224"/>
      <c r="J17" s="224"/>
      <c r="K17" s="224"/>
      <c r="L17" s="224"/>
      <c r="M17" s="224"/>
      <c r="N17" s="224"/>
      <c r="O17" s="224"/>
      <c r="P17" s="224"/>
      <c r="Q17" s="224"/>
      <c r="R17" s="224"/>
      <c r="S17" s="224"/>
      <c r="T17" s="224"/>
      <c r="U17" s="224"/>
      <c r="V17" s="224"/>
      <c r="W17" s="224"/>
    </row>
    <row r="18" spans="1:23" ht="13.2">
      <c r="A18" s="55"/>
      <c r="B18" s="224"/>
      <c r="C18" s="227" t="s">
        <v>2376</v>
      </c>
      <c r="D18" s="224"/>
      <c r="E18" s="224"/>
      <c r="F18" s="224"/>
      <c r="G18" s="224"/>
      <c r="H18" s="224"/>
      <c r="I18" s="224"/>
      <c r="J18" s="224"/>
      <c r="K18" s="224"/>
      <c r="L18" s="224"/>
      <c r="M18" s="224"/>
      <c r="N18" s="224"/>
      <c r="O18" s="224"/>
      <c r="P18" s="224"/>
      <c r="Q18" s="224"/>
      <c r="R18" s="224"/>
      <c r="S18" s="224"/>
      <c r="T18" s="224"/>
      <c r="U18" s="224"/>
      <c r="V18" s="224"/>
      <c r="W18" s="224"/>
    </row>
    <row r="19" spans="1:23" ht="13.2">
      <c r="A19" s="55"/>
      <c r="B19" s="224"/>
      <c r="C19" s="224"/>
      <c r="D19" s="224"/>
      <c r="E19" s="224"/>
      <c r="F19" s="224"/>
      <c r="G19" s="224"/>
      <c r="H19" s="224"/>
      <c r="I19" s="224"/>
      <c r="J19" s="224"/>
      <c r="K19" s="224"/>
      <c r="L19" s="224"/>
      <c r="M19" s="224"/>
      <c r="N19" s="224"/>
      <c r="O19" s="224"/>
      <c r="P19" s="224"/>
      <c r="Q19" s="224"/>
      <c r="R19" s="224"/>
      <c r="S19" s="224"/>
      <c r="T19" s="224"/>
      <c r="U19" s="224"/>
      <c r="V19" s="224"/>
      <c r="W19" s="224"/>
    </row>
    <row r="20" spans="1:23" ht="13.2">
      <c r="A20" s="55"/>
      <c r="B20" s="224"/>
      <c r="C20" s="224" t="s">
        <v>704</v>
      </c>
      <c r="D20" s="224"/>
      <c r="E20" s="224"/>
      <c r="F20" s="224"/>
      <c r="G20" s="224"/>
      <c r="H20" s="224"/>
      <c r="I20" s="268" t="s">
        <v>2388</v>
      </c>
      <c r="J20" s="268"/>
      <c r="K20" s="268"/>
      <c r="L20" s="268"/>
      <c r="M20" s="268"/>
      <c r="N20" s="268"/>
      <c r="O20" s="268"/>
      <c r="P20" s="268"/>
      <c r="Q20" s="268"/>
      <c r="R20" s="268"/>
      <c r="S20" s="268"/>
      <c r="T20" s="268"/>
      <c r="U20" s="268"/>
      <c r="V20" s="224"/>
      <c r="W20" s="224"/>
    </row>
    <row r="21" spans="1:23" ht="13.2">
      <c r="A21" s="55"/>
      <c r="B21" s="224"/>
      <c r="C21" s="224"/>
      <c r="D21" s="224"/>
      <c r="E21" s="224"/>
      <c r="F21" s="224"/>
      <c r="G21" s="224"/>
      <c r="H21" s="224"/>
      <c r="I21" s="268"/>
      <c r="J21" s="268"/>
      <c r="K21" s="268"/>
      <c r="L21" s="268"/>
      <c r="M21" s="268"/>
      <c r="N21" s="268"/>
      <c r="O21" s="268"/>
      <c r="P21" s="268"/>
      <c r="Q21" s="268"/>
      <c r="R21" s="268"/>
      <c r="S21" s="268"/>
      <c r="T21" s="268"/>
      <c r="U21" s="268"/>
      <c r="V21" s="224"/>
      <c r="W21" s="224"/>
    </row>
    <row r="22" spans="1:23" ht="13.2">
      <c r="A22" s="55"/>
      <c r="B22" s="224"/>
      <c r="C22" s="224"/>
      <c r="D22" s="224"/>
      <c r="E22" s="224"/>
      <c r="F22" s="224"/>
      <c r="G22" s="224"/>
      <c r="H22" s="224"/>
      <c r="I22" s="268"/>
      <c r="J22" s="268"/>
      <c r="K22" s="268"/>
      <c r="L22" s="268"/>
      <c r="M22" s="268"/>
      <c r="N22" s="268"/>
      <c r="O22" s="268"/>
      <c r="P22" s="268"/>
      <c r="Q22" s="268"/>
      <c r="R22" s="268"/>
      <c r="S22" s="268"/>
      <c r="T22" s="268"/>
      <c r="U22" s="268"/>
      <c r="V22" s="224"/>
      <c r="W22" s="224"/>
    </row>
    <row r="23" spans="1:23" ht="13.2">
      <c r="A23" s="55"/>
      <c r="B23" s="224"/>
      <c r="C23" s="224"/>
      <c r="D23" s="224"/>
      <c r="E23" s="224"/>
      <c r="F23" s="224"/>
      <c r="G23" s="224"/>
      <c r="H23" s="224"/>
      <c r="I23" s="268"/>
      <c r="J23" s="268"/>
      <c r="K23" s="268"/>
      <c r="L23" s="268"/>
      <c r="M23" s="268"/>
      <c r="N23" s="268"/>
      <c r="O23" s="268"/>
      <c r="P23" s="268"/>
      <c r="Q23" s="268"/>
      <c r="R23" s="268"/>
      <c r="S23" s="268"/>
      <c r="T23" s="268"/>
      <c r="U23" s="268"/>
      <c r="V23" s="224"/>
      <c r="W23" s="224"/>
    </row>
    <row r="24" spans="1:23" ht="13.2">
      <c r="A24" s="55"/>
      <c r="B24" s="224"/>
      <c r="C24" s="224" t="s">
        <v>2379</v>
      </c>
      <c r="D24" s="224"/>
      <c r="E24" s="224"/>
      <c r="F24" s="224"/>
      <c r="G24" s="224"/>
      <c r="H24" s="224"/>
      <c r="I24" s="268" t="s">
        <v>2389</v>
      </c>
      <c r="J24" s="268"/>
      <c r="K24" s="268"/>
      <c r="L24" s="268"/>
      <c r="M24" s="268"/>
      <c r="N24" s="268"/>
      <c r="O24" s="268"/>
      <c r="P24" s="268"/>
      <c r="Q24" s="268"/>
      <c r="R24" s="268"/>
      <c r="S24" s="268"/>
      <c r="T24" s="268"/>
      <c r="U24" s="268"/>
      <c r="V24" s="224"/>
      <c r="W24" s="224"/>
    </row>
    <row r="25" spans="1:23" ht="13.2">
      <c r="A25" s="55"/>
      <c r="B25" s="224"/>
      <c r="C25" s="224"/>
      <c r="D25" s="224"/>
      <c r="E25" s="224"/>
      <c r="F25" s="224"/>
      <c r="G25" s="224"/>
      <c r="H25" s="224"/>
      <c r="I25" s="268"/>
      <c r="J25" s="268"/>
      <c r="K25" s="268"/>
      <c r="L25" s="268"/>
      <c r="M25" s="268"/>
      <c r="N25" s="268"/>
      <c r="O25" s="268"/>
      <c r="P25" s="268"/>
      <c r="Q25" s="268"/>
      <c r="R25" s="268"/>
      <c r="S25" s="268"/>
      <c r="T25" s="268"/>
      <c r="U25" s="268"/>
      <c r="V25" s="224"/>
      <c r="W25" s="224"/>
    </row>
    <row r="26" spans="1:23" ht="13.2">
      <c r="A26" s="55"/>
      <c r="B26" s="224"/>
      <c r="C26" s="224"/>
      <c r="D26" s="224"/>
      <c r="E26" s="224"/>
      <c r="F26" s="224"/>
      <c r="G26" s="224"/>
      <c r="H26" s="224"/>
      <c r="I26" s="268"/>
      <c r="J26" s="268"/>
      <c r="K26" s="268"/>
      <c r="L26" s="268"/>
      <c r="M26" s="268"/>
      <c r="N26" s="268"/>
      <c r="O26" s="268"/>
      <c r="P26" s="268"/>
      <c r="Q26" s="268"/>
      <c r="R26" s="268"/>
      <c r="S26" s="268"/>
      <c r="T26" s="268"/>
      <c r="U26" s="268"/>
      <c r="V26" s="224"/>
      <c r="W26" s="224"/>
    </row>
    <row r="27" spans="1:23" ht="13.2">
      <c r="A27" s="55"/>
      <c r="B27" s="224"/>
      <c r="C27" s="224"/>
      <c r="D27" s="224"/>
      <c r="E27" s="224"/>
      <c r="F27" s="224"/>
      <c r="G27" s="224"/>
      <c r="H27" s="224"/>
      <c r="I27" s="268"/>
      <c r="J27" s="268"/>
      <c r="K27" s="268"/>
      <c r="L27" s="268"/>
      <c r="M27" s="268"/>
      <c r="N27" s="268"/>
      <c r="O27" s="268"/>
      <c r="P27" s="268"/>
      <c r="Q27" s="268"/>
      <c r="R27" s="268"/>
      <c r="S27" s="268"/>
      <c r="T27" s="268"/>
      <c r="U27" s="268"/>
      <c r="V27" s="224"/>
      <c r="W27" s="224"/>
    </row>
    <row r="28" spans="1:23" ht="13.2">
      <c r="A28" s="55"/>
      <c r="B28" s="224"/>
      <c r="C28" s="224"/>
      <c r="D28" s="224"/>
      <c r="E28" s="224"/>
      <c r="F28" s="224"/>
      <c r="G28" s="224"/>
      <c r="H28" s="224"/>
      <c r="I28" s="268"/>
      <c r="J28" s="268"/>
      <c r="K28" s="268"/>
      <c r="L28" s="268"/>
      <c r="M28" s="268"/>
      <c r="N28" s="268"/>
      <c r="O28" s="268"/>
      <c r="P28" s="268"/>
      <c r="Q28" s="268"/>
      <c r="R28" s="268"/>
      <c r="S28" s="268"/>
      <c r="T28" s="268"/>
      <c r="U28" s="268"/>
      <c r="V28" s="224"/>
      <c r="W28" s="224"/>
    </row>
    <row r="29" spans="1:23" ht="13.2">
      <c r="A29" s="55"/>
      <c r="B29" s="224"/>
      <c r="C29" s="224" t="s">
        <v>2429</v>
      </c>
      <c r="D29" s="224"/>
      <c r="E29" s="224"/>
      <c r="F29" s="224"/>
      <c r="G29" s="224"/>
      <c r="H29" s="224"/>
      <c r="I29" s="268" t="s">
        <v>2430</v>
      </c>
      <c r="J29" s="268"/>
      <c r="K29" s="268"/>
      <c r="L29" s="268"/>
      <c r="M29" s="268"/>
      <c r="N29" s="268"/>
      <c r="O29" s="268"/>
      <c r="P29" s="268"/>
      <c r="Q29" s="268"/>
      <c r="R29" s="268"/>
      <c r="S29" s="268"/>
      <c r="T29" s="268"/>
      <c r="U29" s="268"/>
      <c r="V29" s="224"/>
      <c r="W29" s="224"/>
    </row>
    <row r="30" spans="1:23" ht="13.2">
      <c r="A30" s="55"/>
      <c r="B30" s="224"/>
      <c r="C30" s="224"/>
      <c r="D30" s="224"/>
      <c r="E30" s="224"/>
      <c r="F30" s="224"/>
      <c r="G30" s="224"/>
      <c r="H30" s="224"/>
      <c r="I30" s="268"/>
      <c r="J30" s="268"/>
      <c r="K30" s="268"/>
      <c r="L30" s="268"/>
      <c r="M30" s="268"/>
      <c r="N30" s="268"/>
      <c r="O30" s="268"/>
      <c r="P30" s="268"/>
      <c r="Q30" s="268"/>
      <c r="R30" s="268"/>
      <c r="S30" s="268"/>
      <c r="T30" s="268"/>
      <c r="U30" s="268"/>
      <c r="V30" s="224"/>
      <c r="W30" s="224"/>
    </row>
    <row r="31" spans="1:23" ht="13.2">
      <c r="A31" s="55"/>
      <c r="B31" s="224"/>
      <c r="C31" s="224"/>
      <c r="D31" s="224"/>
      <c r="E31" s="224"/>
      <c r="F31" s="224"/>
      <c r="G31" s="224"/>
      <c r="H31" s="224"/>
      <c r="I31" s="268"/>
      <c r="J31" s="268"/>
      <c r="K31" s="268"/>
      <c r="L31" s="268"/>
      <c r="M31" s="268"/>
      <c r="N31" s="268"/>
      <c r="O31" s="268"/>
      <c r="P31" s="268"/>
      <c r="Q31" s="268"/>
      <c r="R31" s="268"/>
      <c r="S31" s="268"/>
      <c r="T31" s="268"/>
      <c r="U31" s="268"/>
      <c r="V31" s="224"/>
      <c r="W31" s="224"/>
    </row>
    <row r="32" spans="1:23" ht="13.2">
      <c r="A32" s="55"/>
      <c r="B32" s="224"/>
      <c r="C32" s="224"/>
      <c r="D32" s="224"/>
      <c r="E32" s="224"/>
      <c r="F32" s="224"/>
      <c r="G32" s="224"/>
      <c r="H32" s="224"/>
      <c r="I32" s="268"/>
      <c r="J32" s="268"/>
      <c r="K32" s="268"/>
      <c r="L32" s="268"/>
      <c r="M32" s="268"/>
      <c r="N32" s="268"/>
      <c r="O32" s="268"/>
      <c r="P32" s="268"/>
      <c r="Q32" s="268"/>
      <c r="R32" s="268"/>
      <c r="S32" s="268"/>
      <c r="T32" s="268"/>
      <c r="U32" s="268"/>
      <c r="V32" s="224"/>
      <c r="W32" s="224"/>
    </row>
    <row r="33" spans="1:23" ht="13.2">
      <c r="A33" s="55"/>
      <c r="B33" s="224"/>
      <c r="C33" s="224" t="s">
        <v>1031</v>
      </c>
      <c r="D33" s="224"/>
      <c r="E33" s="224"/>
      <c r="F33" s="224"/>
      <c r="G33" s="224"/>
      <c r="H33" s="224"/>
      <c r="I33" s="268" t="s">
        <v>2390</v>
      </c>
      <c r="J33" s="268"/>
      <c r="K33" s="268"/>
      <c r="L33" s="268"/>
      <c r="M33" s="268"/>
      <c r="N33" s="268"/>
      <c r="O33" s="268"/>
      <c r="P33" s="268"/>
      <c r="Q33" s="268"/>
      <c r="R33" s="268"/>
      <c r="S33" s="268"/>
      <c r="T33" s="268"/>
      <c r="U33" s="268"/>
      <c r="V33" s="224"/>
      <c r="W33" s="224"/>
    </row>
    <row r="34" spans="1:23" ht="13.2">
      <c r="A34" s="55"/>
      <c r="B34" s="224"/>
      <c r="C34" s="224"/>
      <c r="D34" s="224"/>
      <c r="E34" s="224"/>
      <c r="F34" s="224"/>
      <c r="G34" s="224"/>
      <c r="H34" s="224"/>
      <c r="I34" s="268"/>
      <c r="J34" s="268"/>
      <c r="K34" s="268"/>
      <c r="L34" s="268"/>
      <c r="M34" s="268"/>
      <c r="N34" s="268"/>
      <c r="O34" s="268"/>
      <c r="P34" s="268"/>
      <c r="Q34" s="268"/>
      <c r="R34" s="268"/>
      <c r="S34" s="268"/>
      <c r="T34" s="268"/>
      <c r="U34" s="268"/>
      <c r="V34" s="224"/>
      <c r="W34" s="224"/>
    </row>
    <row r="35" spans="1:23" ht="13.2">
      <c r="A35" s="55"/>
      <c r="B35" s="224"/>
      <c r="C35" s="225"/>
      <c r="D35" s="225"/>
      <c r="E35" s="224"/>
      <c r="F35" s="224"/>
      <c r="G35" s="224"/>
      <c r="H35" s="224"/>
      <c r="I35" s="268"/>
      <c r="J35" s="268"/>
      <c r="K35" s="268"/>
      <c r="L35" s="268"/>
      <c r="M35" s="268"/>
      <c r="N35" s="268"/>
      <c r="O35" s="268"/>
      <c r="P35" s="268"/>
      <c r="Q35" s="268"/>
      <c r="R35" s="268"/>
      <c r="S35" s="268"/>
      <c r="T35" s="268"/>
      <c r="U35" s="268"/>
      <c r="V35" s="224"/>
      <c r="W35" s="224"/>
    </row>
    <row r="36" spans="1:23" ht="13.2">
      <c r="A36" s="55"/>
      <c r="B36" s="224"/>
      <c r="C36" s="224" t="s">
        <v>2188</v>
      </c>
      <c r="D36" s="224"/>
      <c r="E36" s="224"/>
      <c r="F36" s="224"/>
      <c r="G36" s="224"/>
      <c r="H36" s="224"/>
      <c r="I36" s="268" t="s">
        <v>2383</v>
      </c>
      <c r="J36" s="268"/>
      <c r="K36" s="268"/>
      <c r="L36" s="268"/>
      <c r="M36" s="268"/>
      <c r="N36" s="268"/>
      <c r="O36" s="268"/>
      <c r="P36" s="268"/>
      <c r="Q36" s="268"/>
      <c r="R36" s="268"/>
      <c r="S36" s="268"/>
      <c r="T36" s="268"/>
      <c r="U36" s="268"/>
      <c r="V36" s="224"/>
      <c r="W36" s="224"/>
    </row>
    <row r="37" spans="1:23" ht="13.2">
      <c r="A37" s="55"/>
      <c r="B37" s="224"/>
      <c r="C37" s="224"/>
      <c r="D37" s="224"/>
      <c r="E37" s="224"/>
      <c r="F37" s="224"/>
      <c r="G37" s="224"/>
      <c r="H37" s="224"/>
      <c r="I37" s="268"/>
      <c r="J37" s="268"/>
      <c r="K37" s="268"/>
      <c r="L37" s="268"/>
      <c r="M37" s="268"/>
      <c r="N37" s="268"/>
      <c r="O37" s="268"/>
      <c r="P37" s="268"/>
      <c r="Q37" s="268"/>
      <c r="R37" s="268"/>
      <c r="S37" s="268"/>
      <c r="T37" s="268"/>
      <c r="U37" s="268"/>
      <c r="V37" s="224"/>
      <c r="W37" s="224"/>
    </row>
    <row r="38" spans="1:23" ht="13.2">
      <c r="A38" s="55"/>
      <c r="B38" s="224"/>
      <c r="C38" s="225"/>
      <c r="D38" s="225"/>
      <c r="E38" s="224"/>
      <c r="F38" s="224"/>
      <c r="G38" s="224"/>
      <c r="H38" s="224"/>
      <c r="I38" s="268"/>
      <c r="J38" s="268"/>
      <c r="K38" s="268"/>
      <c r="L38" s="268"/>
      <c r="M38" s="268"/>
      <c r="N38" s="268"/>
      <c r="O38" s="268"/>
      <c r="P38" s="268"/>
      <c r="Q38" s="268"/>
      <c r="R38" s="268"/>
      <c r="S38" s="268"/>
      <c r="T38" s="268"/>
      <c r="U38" s="268"/>
      <c r="V38" s="224"/>
      <c r="W38" s="224"/>
    </row>
    <row r="39" spans="1:23" ht="13.2">
      <c r="A39" s="55"/>
      <c r="B39" s="224"/>
      <c r="C39" s="224" t="s">
        <v>2187</v>
      </c>
      <c r="D39" s="224"/>
      <c r="E39" s="224"/>
      <c r="F39" s="224"/>
      <c r="G39" s="224"/>
      <c r="H39" s="224"/>
      <c r="I39" s="268" t="s">
        <v>2381</v>
      </c>
      <c r="J39" s="268"/>
      <c r="K39" s="268"/>
      <c r="L39" s="268"/>
      <c r="M39" s="268"/>
      <c r="N39" s="268"/>
      <c r="O39" s="268"/>
      <c r="P39" s="268"/>
      <c r="Q39" s="268"/>
      <c r="R39" s="268"/>
      <c r="S39" s="268"/>
      <c r="T39" s="268"/>
      <c r="U39" s="268"/>
      <c r="V39" s="224"/>
      <c r="W39" s="224"/>
    </row>
    <row r="40" spans="1:23" ht="13.2">
      <c r="A40" s="55"/>
      <c r="B40" s="224"/>
      <c r="C40" s="224"/>
      <c r="D40" s="224"/>
      <c r="E40" s="224"/>
      <c r="F40" s="224"/>
      <c r="G40" s="224"/>
      <c r="H40" s="224"/>
      <c r="I40" s="268"/>
      <c r="J40" s="268"/>
      <c r="K40" s="268"/>
      <c r="L40" s="268"/>
      <c r="M40" s="268"/>
      <c r="N40" s="268"/>
      <c r="O40" s="268"/>
      <c r="P40" s="268"/>
      <c r="Q40" s="268"/>
      <c r="R40" s="268"/>
      <c r="S40" s="268"/>
      <c r="T40" s="268"/>
      <c r="U40" s="268"/>
      <c r="V40" s="224"/>
      <c r="W40" s="224"/>
    </row>
    <row r="41" spans="1:23" ht="13.2">
      <c r="A41" s="55"/>
      <c r="B41" s="224"/>
      <c r="C41" s="224"/>
      <c r="D41" s="224"/>
      <c r="E41" s="224"/>
      <c r="F41" s="224"/>
      <c r="G41" s="224"/>
      <c r="H41" s="224"/>
      <c r="I41" s="268"/>
      <c r="J41" s="268"/>
      <c r="K41" s="268"/>
      <c r="L41" s="268"/>
      <c r="M41" s="268"/>
      <c r="N41" s="268"/>
      <c r="O41" s="268"/>
      <c r="P41" s="268"/>
      <c r="Q41" s="268"/>
      <c r="R41" s="268"/>
      <c r="S41" s="268"/>
      <c r="T41" s="268"/>
      <c r="U41" s="268"/>
      <c r="V41" s="224"/>
      <c r="W41" s="224"/>
    </row>
    <row r="42" spans="1:23" ht="13.2">
      <c r="A42" s="55"/>
      <c r="B42" s="224"/>
      <c r="C42" s="225"/>
      <c r="D42" s="225"/>
      <c r="E42" s="224"/>
      <c r="F42" s="224"/>
      <c r="G42" s="224"/>
      <c r="H42" s="224"/>
      <c r="I42" s="268"/>
      <c r="J42" s="268"/>
      <c r="K42" s="268"/>
      <c r="L42" s="268"/>
      <c r="M42" s="268"/>
      <c r="N42" s="268"/>
      <c r="O42" s="268"/>
      <c r="P42" s="268"/>
      <c r="Q42" s="268"/>
      <c r="R42" s="268"/>
      <c r="S42" s="268"/>
      <c r="T42" s="268"/>
      <c r="U42" s="268"/>
      <c r="V42" s="224"/>
      <c r="W42" s="224"/>
    </row>
    <row r="43" spans="1:23" ht="13.2">
      <c r="A43" s="55"/>
      <c r="B43" s="224"/>
      <c r="C43" s="224" t="s">
        <v>2226</v>
      </c>
      <c r="D43" s="224"/>
      <c r="E43" s="224"/>
      <c r="F43" s="224"/>
      <c r="G43" s="224"/>
      <c r="H43" s="224"/>
      <c r="I43" s="268" t="s">
        <v>2382</v>
      </c>
      <c r="J43" s="268"/>
      <c r="K43" s="268"/>
      <c r="L43" s="268"/>
      <c r="M43" s="268"/>
      <c r="N43" s="268"/>
      <c r="O43" s="268"/>
      <c r="P43" s="268"/>
      <c r="Q43" s="268"/>
      <c r="R43" s="268"/>
      <c r="S43" s="268"/>
      <c r="T43" s="268"/>
      <c r="U43" s="268"/>
      <c r="V43" s="224"/>
      <c r="W43" s="224"/>
    </row>
    <row r="44" spans="1:23" ht="13.2">
      <c r="A44" s="55"/>
      <c r="B44" s="224"/>
      <c r="C44" s="224"/>
      <c r="D44" s="224"/>
      <c r="E44" s="224"/>
      <c r="F44" s="224"/>
      <c r="G44" s="224"/>
      <c r="H44" s="224"/>
      <c r="I44" s="268"/>
      <c r="J44" s="268"/>
      <c r="K44" s="268"/>
      <c r="L44" s="268"/>
      <c r="M44" s="268"/>
      <c r="N44" s="268"/>
      <c r="O44" s="268"/>
      <c r="P44" s="268"/>
      <c r="Q44" s="268"/>
      <c r="R44" s="268"/>
      <c r="S44" s="268"/>
      <c r="T44" s="268"/>
      <c r="U44" s="268"/>
      <c r="V44" s="224"/>
      <c r="W44" s="224"/>
    </row>
    <row r="45" spans="1:23" ht="13.2">
      <c r="A45" s="55"/>
      <c r="B45" s="224"/>
      <c r="C45" s="224"/>
      <c r="D45" s="224"/>
      <c r="E45" s="224"/>
      <c r="F45" s="224"/>
      <c r="G45" s="224"/>
      <c r="H45" s="224"/>
      <c r="I45" s="268"/>
      <c r="J45" s="268"/>
      <c r="K45" s="268"/>
      <c r="L45" s="268"/>
      <c r="M45" s="268"/>
      <c r="N45" s="268"/>
      <c r="O45" s="268"/>
      <c r="P45" s="268"/>
      <c r="Q45" s="268"/>
      <c r="R45" s="268"/>
      <c r="S45" s="268"/>
      <c r="T45" s="268"/>
      <c r="U45" s="268"/>
      <c r="V45" s="224"/>
      <c r="W45" s="224"/>
    </row>
    <row r="46" spans="1:23" ht="13.2">
      <c r="A46" s="55"/>
      <c r="B46" s="224"/>
      <c r="C46" s="224"/>
      <c r="D46" s="224"/>
      <c r="E46" s="224"/>
      <c r="F46" s="224"/>
      <c r="G46" s="224"/>
      <c r="H46" s="224"/>
      <c r="I46" s="268"/>
      <c r="J46" s="268"/>
      <c r="K46" s="268"/>
      <c r="L46" s="268"/>
      <c r="M46" s="268"/>
      <c r="N46" s="268"/>
      <c r="O46" s="268"/>
      <c r="P46" s="268"/>
      <c r="Q46" s="268"/>
      <c r="R46" s="268"/>
      <c r="S46" s="268"/>
      <c r="T46" s="268"/>
      <c r="U46" s="268"/>
      <c r="V46" s="224"/>
      <c r="W46" s="224"/>
    </row>
    <row r="47" spans="1:23" ht="13.2">
      <c r="A47" s="55"/>
      <c r="B47" s="224"/>
      <c r="C47" s="224"/>
      <c r="D47" s="224"/>
      <c r="E47" s="224"/>
      <c r="F47" s="224"/>
      <c r="G47" s="224"/>
      <c r="H47" s="224"/>
      <c r="I47" s="268"/>
      <c r="J47" s="268"/>
      <c r="K47" s="268"/>
      <c r="L47" s="268"/>
      <c r="M47" s="268"/>
      <c r="N47" s="268"/>
      <c r="O47" s="268"/>
      <c r="P47" s="268"/>
      <c r="Q47" s="268"/>
      <c r="R47" s="268"/>
      <c r="S47" s="268"/>
      <c r="T47" s="268"/>
      <c r="U47" s="268"/>
      <c r="V47" s="224"/>
      <c r="W47" s="224"/>
    </row>
    <row r="48" spans="1:23" ht="13.2">
      <c r="A48" s="55"/>
      <c r="B48" s="224"/>
      <c r="C48" s="225"/>
      <c r="D48" s="225"/>
      <c r="E48" s="224"/>
      <c r="F48" s="224"/>
      <c r="G48" s="224"/>
      <c r="H48" s="224"/>
      <c r="I48" s="268"/>
      <c r="J48" s="268"/>
      <c r="K48" s="268"/>
      <c r="L48" s="268"/>
      <c r="M48" s="268"/>
      <c r="N48" s="268"/>
      <c r="O48" s="268"/>
      <c r="P48" s="268"/>
      <c r="Q48" s="268"/>
      <c r="R48" s="268"/>
      <c r="S48" s="268"/>
      <c r="T48" s="268"/>
      <c r="U48" s="268"/>
      <c r="V48" s="224"/>
      <c r="W48" s="224"/>
    </row>
    <row r="49" spans="1:23" ht="13.2">
      <c r="A49" s="55"/>
      <c r="B49" s="224"/>
      <c r="C49" s="224" t="s">
        <v>2380</v>
      </c>
      <c r="D49" s="224"/>
      <c r="E49" s="224"/>
      <c r="F49" s="224"/>
      <c r="G49" s="224"/>
      <c r="H49" s="224"/>
      <c r="I49" s="268" t="s">
        <v>2391</v>
      </c>
      <c r="J49" s="268"/>
      <c r="K49" s="268"/>
      <c r="L49" s="268"/>
      <c r="M49" s="268"/>
      <c r="N49" s="268"/>
      <c r="O49" s="268"/>
      <c r="P49" s="268"/>
      <c r="Q49" s="268"/>
      <c r="R49" s="268"/>
      <c r="S49" s="268"/>
      <c r="T49" s="268"/>
      <c r="U49" s="268"/>
      <c r="V49" s="224"/>
      <c r="W49" s="224"/>
    </row>
    <row r="50" spans="1:23" ht="13.2">
      <c r="A50" s="55"/>
      <c r="B50" s="224"/>
      <c r="C50" s="224"/>
      <c r="D50" s="224"/>
      <c r="E50" s="224"/>
      <c r="F50" s="224"/>
      <c r="G50" s="224"/>
      <c r="H50" s="224"/>
      <c r="I50" s="268"/>
      <c r="J50" s="268"/>
      <c r="K50" s="268"/>
      <c r="L50" s="268"/>
      <c r="M50" s="268"/>
      <c r="N50" s="268"/>
      <c r="O50" s="268"/>
      <c r="P50" s="268"/>
      <c r="Q50" s="268"/>
      <c r="R50" s="268"/>
      <c r="S50" s="268"/>
      <c r="T50" s="268"/>
      <c r="U50" s="268"/>
      <c r="V50" s="224"/>
      <c r="W50" s="224"/>
    </row>
    <row r="51" spans="1:23" ht="13.2">
      <c r="A51" s="55"/>
      <c r="B51" s="224"/>
      <c r="C51" s="224"/>
      <c r="D51" s="224"/>
      <c r="E51" s="224"/>
      <c r="F51" s="224"/>
      <c r="G51" s="224"/>
      <c r="H51" s="224"/>
      <c r="I51" s="268"/>
      <c r="J51" s="268"/>
      <c r="K51" s="268"/>
      <c r="L51" s="268"/>
      <c r="M51" s="268"/>
      <c r="N51" s="268"/>
      <c r="O51" s="268"/>
      <c r="P51" s="268"/>
      <c r="Q51" s="268"/>
      <c r="R51" s="268"/>
      <c r="S51" s="268"/>
      <c r="T51" s="268"/>
      <c r="U51" s="268"/>
      <c r="V51" s="224"/>
      <c r="W51" s="224"/>
    </row>
    <row r="52" spans="1:23" ht="13.2">
      <c r="A52" s="55"/>
      <c r="B52" s="224"/>
      <c r="C52" s="224"/>
      <c r="D52" s="224"/>
      <c r="E52" s="224"/>
      <c r="F52" s="224"/>
      <c r="G52" s="224"/>
      <c r="H52" s="224"/>
      <c r="I52" s="268"/>
      <c r="J52" s="268"/>
      <c r="K52" s="268"/>
      <c r="L52" s="268"/>
      <c r="M52" s="268"/>
      <c r="N52" s="268"/>
      <c r="O52" s="268"/>
      <c r="P52" s="268"/>
      <c r="Q52" s="268"/>
      <c r="R52" s="268"/>
      <c r="S52" s="268"/>
      <c r="T52" s="268"/>
      <c r="U52" s="268"/>
      <c r="V52" s="224"/>
      <c r="W52" s="224"/>
    </row>
    <row r="53" spans="1:23" ht="13.2">
      <c r="A53" s="55"/>
      <c r="B53" s="224"/>
      <c r="C53" s="224"/>
      <c r="D53" s="224"/>
      <c r="E53" s="224"/>
      <c r="F53" s="224"/>
      <c r="G53" s="224"/>
      <c r="H53" s="224"/>
      <c r="I53" s="268"/>
      <c r="J53" s="268"/>
      <c r="K53" s="268"/>
      <c r="L53" s="268"/>
      <c r="M53" s="268"/>
      <c r="N53" s="268"/>
      <c r="O53" s="268"/>
      <c r="P53" s="268"/>
      <c r="Q53" s="268"/>
      <c r="R53" s="268"/>
      <c r="S53" s="268"/>
      <c r="T53" s="268"/>
      <c r="U53" s="268"/>
      <c r="V53" s="224"/>
      <c r="W53" s="224"/>
    </row>
    <row r="54" spans="1:23" ht="13.2">
      <c r="A54" s="55"/>
      <c r="B54" s="224"/>
      <c r="C54" s="224"/>
      <c r="D54" s="224"/>
      <c r="E54" s="224"/>
      <c r="F54" s="224"/>
      <c r="G54" s="224"/>
      <c r="H54" s="224"/>
      <c r="I54" s="268"/>
      <c r="J54" s="268"/>
      <c r="K54" s="268"/>
      <c r="L54" s="268"/>
      <c r="M54" s="268"/>
      <c r="N54" s="268"/>
      <c r="O54" s="268"/>
      <c r="P54" s="268"/>
      <c r="Q54" s="268"/>
      <c r="R54" s="268"/>
      <c r="S54" s="268"/>
      <c r="T54" s="268"/>
      <c r="U54" s="268"/>
      <c r="V54" s="224"/>
      <c r="W54" s="224"/>
    </row>
    <row r="55" spans="1:23" ht="13.2">
      <c r="A55" s="55"/>
      <c r="B55" s="224"/>
      <c r="C55" s="224"/>
      <c r="D55" s="224"/>
      <c r="E55" s="224"/>
      <c r="F55" s="224"/>
      <c r="G55" s="224"/>
      <c r="H55" s="224"/>
      <c r="I55" s="268"/>
      <c r="J55" s="268"/>
      <c r="K55" s="268"/>
      <c r="L55" s="268"/>
      <c r="M55" s="268"/>
      <c r="N55" s="268"/>
      <c r="O55" s="268"/>
      <c r="P55" s="268"/>
      <c r="Q55" s="268"/>
      <c r="R55" s="268"/>
      <c r="S55" s="268"/>
      <c r="T55" s="268"/>
      <c r="U55" s="268"/>
      <c r="V55" s="224"/>
      <c r="W55" s="224"/>
    </row>
    <row r="56" spans="1:23" ht="13.2">
      <c r="A56" s="55"/>
      <c r="B56" s="224"/>
      <c r="C56" s="224"/>
      <c r="D56" s="224"/>
      <c r="E56" s="224"/>
      <c r="F56" s="224"/>
      <c r="G56" s="224"/>
      <c r="H56" s="224"/>
      <c r="I56" s="268"/>
      <c r="J56" s="268"/>
      <c r="K56" s="268"/>
      <c r="L56" s="268"/>
      <c r="M56" s="268"/>
      <c r="N56" s="268"/>
      <c r="O56" s="268"/>
      <c r="P56" s="268"/>
      <c r="Q56" s="268"/>
      <c r="R56" s="268"/>
      <c r="S56" s="268"/>
      <c r="T56" s="268"/>
      <c r="U56" s="268"/>
      <c r="V56" s="224"/>
      <c r="W56" s="224"/>
    </row>
    <row r="57" spans="1:23" ht="13.2">
      <c r="A57" s="55"/>
      <c r="B57" s="224"/>
      <c r="C57" s="225"/>
      <c r="D57" s="225"/>
      <c r="E57" s="224"/>
      <c r="F57" s="224"/>
      <c r="G57" s="224"/>
      <c r="H57" s="224"/>
      <c r="I57" s="268"/>
      <c r="J57" s="268"/>
      <c r="K57" s="268"/>
      <c r="L57" s="268"/>
      <c r="M57" s="268"/>
      <c r="N57" s="268"/>
      <c r="O57" s="268"/>
      <c r="P57" s="268"/>
      <c r="Q57" s="268"/>
      <c r="R57" s="268"/>
      <c r="S57" s="268"/>
      <c r="T57" s="268"/>
      <c r="U57" s="268"/>
      <c r="V57" s="224"/>
      <c r="W57" s="224"/>
    </row>
    <row r="58" spans="1:23" ht="13.2">
      <c r="A58" s="55"/>
      <c r="B58" s="224"/>
      <c r="C58" s="224" t="s">
        <v>2189</v>
      </c>
      <c r="D58" s="224"/>
      <c r="E58" s="224"/>
      <c r="F58" s="224"/>
      <c r="G58" s="224"/>
      <c r="H58" s="224"/>
      <c r="I58" s="268" t="s">
        <v>2384</v>
      </c>
      <c r="J58" s="268"/>
      <c r="K58" s="268"/>
      <c r="L58" s="268"/>
      <c r="M58" s="268"/>
      <c r="N58" s="268"/>
      <c r="O58" s="268"/>
      <c r="P58" s="268"/>
      <c r="Q58" s="268"/>
      <c r="R58" s="268"/>
      <c r="S58" s="268"/>
      <c r="T58" s="268"/>
      <c r="U58" s="268"/>
      <c r="V58" s="224"/>
      <c r="W58" s="224"/>
    </row>
    <row r="59" spans="1:23" ht="13.2">
      <c r="A59" s="55"/>
      <c r="B59" s="224"/>
      <c r="C59" s="224"/>
      <c r="D59" s="224"/>
      <c r="E59" s="224"/>
      <c r="F59" s="224"/>
      <c r="G59" s="224"/>
      <c r="H59" s="224"/>
      <c r="I59" s="268"/>
      <c r="J59" s="268"/>
      <c r="K59" s="268"/>
      <c r="L59" s="268"/>
      <c r="M59" s="268"/>
      <c r="N59" s="268"/>
      <c r="O59" s="268"/>
      <c r="P59" s="268"/>
      <c r="Q59" s="268"/>
      <c r="R59" s="268"/>
      <c r="S59" s="268"/>
      <c r="T59" s="268"/>
      <c r="U59" s="268"/>
      <c r="V59" s="224"/>
      <c r="W59" s="224"/>
    </row>
    <row r="60" spans="1:23" ht="13.2">
      <c r="A60" s="55"/>
      <c r="B60" s="224"/>
      <c r="C60" s="224"/>
      <c r="D60" s="224"/>
      <c r="E60" s="224"/>
      <c r="F60" s="224"/>
      <c r="G60" s="224"/>
      <c r="H60" s="224"/>
      <c r="I60" s="268"/>
      <c r="J60" s="268"/>
      <c r="K60" s="268"/>
      <c r="L60" s="268"/>
      <c r="M60" s="268"/>
      <c r="N60" s="268"/>
      <c r="O60" s="268"/>
      <c r="P60" s="268"/>
      <c r="Q60" s="268"/>
      <c r="R60" s="268"/>
      <c r="S60" s="268"/>
      <c r="T60" s="268"/>
      <c r="U60" s="268"/>
      <c r="V60" s="224"/>
      <c r="W60" s="224"/>
    </row>
    <row r="61" spans="1:23" ht="13.2">
      <c r="A61" s="55"/>
      <c r="B61" s="224"/>
      <c r="C61" s="224"/>
      <c r="D61" s="224"/>
      <c r="E61" s="224"/>
      <c r="F61" s="224"/>
      <c r="G61" s="224"/>
      <c r="H61" s="224"/>
      <c r="I61" s="268"/>
      <c r="J61" s="268"/>
      <c r="K61" s="268"/>
      <c r="L61" s="268"/>
      <c r="M61" s="268"/>
      <c r="N61" s="268"/>
      <c r="O61" s="268"/>
      <c r="P61" s="268"/>
      <c r="Q61" s="268"/>
      <c r="R61" s="268"/>
      <c r="S61" s="268"/>
      <c r="T61" s="268"/>
      <c r="U61" s="268"/>
      <c r="V61" s="224"/>
      <c r="W61" s="224"/>
    </row>
    <row r="62" spans="1:23" ht="13.2">
      <c r="A62" s="55"/>
      <c r="B62" s="224"/>
      <c r="C62" s="224"/>
      <c r="D62" s="224"/>
      <c r="E62" s="224"/>
      <c r="F62" s="224"/>
      <c r="G62" s="224"/>
      <c r="H62" s="224"/>
      <c r="I62" s="268"/>
      <c r="J62" s="268"/>
      <c r="K62" s="268"/>
      <c r="L62" s="268"/>
      <c r="M62" s="268"/>
      <c r="N62" s="268"/>
      <c r="O62" s="268"/>
      <c r="P62" s="268"/>
      <c r="Q62" s="268"/>
      <c r="R62" s="268"/>
      <c r="S62" s="268"/>
      <c r="T62" s="268"/>
      <c r="U62" s="268"/>
      <c r="V62" s="224"/>
      <c r="W62" s="224"/>
    </row>
    <row r="63" spans="1:23" ht="13.2">
      <c r="A63" s="55"/>
      <c r="B63" s="224"/>
      <c r="C63" s="225"/>
      <c r="D63" s="225"/>
      <c r="E63" s="224"/>
      <c r="F63" s="224"/>
      <c r="G63" s="224"/>
      <c r="H63" s="224"/>
      <c r="I63" s="268"/>
      <c r="J63" s="268"/>
      <c r="K63" s="268"/>
      <c r="L63" s="268"/>
      <c r="M63" s="268"/>
      <c r="N63" s="268"/>
      <c r="O63" s="268"/>
      <c r="P63" s="268"/>
      <c r="Q63" s="268"/>
      <c r="R63" s="268"/>
      <c r="S63" s="268"/>
      <c r="T63" s="268"/>
      <c r="U63" s="268"/>
      <c r="V63" s="224"/>
      <c r="W63" s="224"/>
    </row>
    <row r="64" spans="1:23" ht="13.2">
      <c r="A64" s="55"/>
      <c r="B64" s="224"/>
      <c r="C64" s="224" t="s">
        <v>2378</v>
      </c>
      <c r="D64" s="224"/>
      <c r="E64" s="224"/>
      <c r="F64" s="224"/>
      <c r="G64" s="224"/>
      <c r="H64" s="224"/>
      <c r="I64" s="268" t="s">
        <v>2385</v>
      </c>
      <c r="J64" s="268"/>
      <c r="K64" s="268"/>
      <c r="L64" s="268"/>
      <c r="M64" s="268"/>
      <c r="N64" s="268"/>
      <c r="O64" s="268"/>
      <c r="P64" s="268"/>
      <c r="Q64" s="268"/>
      <c r="R64" s="268"/>
      <c r="S64" s="268"/>
      <c r="T64" s="268"/>
      <c r="U64" s="268"/>
      <c r="V64" s="224"/>
      <c r="W64" s="224"/>
    </row>
    <row r="65" spans="1:23" ht="13.2">
      <c r="A65" s="55"/>
      <c r="B65" s="224"/>
      <c r="C65" s="224"/>
      <c r="D65" s="224"/>
      <c r="E65" s="224"/>
      <c r="F65" s="224"/>
      <c r="G65" s="224"/>
      <c r="H65" s="224"/>
      <c r="I65" s="268"/>
      <c r="J65" s="268"/>
      <c r="K65" s="268"/>
      <c r="L65" s="268"/>
      <c r="M65" s="268"/>
      <c r="N65" s="268"/>
      <c r="O65" s="268"/>
      <c r="P65" s="268"/>
      <c r="Q65" s="268"/>
      <c r="R65" s="268"/>
      <c r="S65" s="268"/>
      <c r="T65" s="268"/>
      <c r="U65" s="268"/>
      <c r="V65" s="224"/>
      <c r="W65" s="224"/>
    </row>
    <row r="66" spans="1:23" ht="13.2">
      <c r="A66" s="55"/>
      <c r="B66" s="224"/>
      <c r="C66" s="225"/>
      <c r="D66" s="225"/>
      <c r="E66" s="224"/>
      <c r="F66" s="224"/>
      <c r="G66" s="224"/>
      <c r="H66" s="224"/>
      <c r="I66" s="268"/>
      <c r="J66" s="268"/>
      <c r="K66" s="268"/>
      <c r="L66" s="268"/>
      <c r="M66" s="268"/>
      <c r="N66" s="268"/>
      <c r="O66" s="268"/>
      <c r="P66" s="268"/>
      <c r="Q66" s="268"/>
      <c r="R66" s="268"/>
      <c r="S66" s="268"/>
      <c r="T66" s="268"/>
      <c r="U66" s="268"/>
      <c r="V66" s="224"/>
      <c r="W66" s="224"/>
    </row>
    <row r="67" spans="1:23" ht="13.2">
      <c r="A67" s="55"/>
      <c r="B67" s="224"/>
      <c r="C67" s="224"/>
      <c r="D67" s="224"/>
      <c r="E67" s="224"/>
      <c r="F67" s="224"/>
      <c r="G67" s="224"/>
      <c r="H67" s="224"/>
      <c r="I67" s="268"/>
      <c r="J67" s="268"/>
      <c r="K67" s="268"/>
      <c r="L67" s="268"/>
      <c r="M67" s="268"/>
      <c r="N67" s="268"/>
      <c r="O67" s="268"/>
      <c r="P67" s="268"/>
      <c r="Q67" s="268"/>
      <c r="R67" s="268"/>
      <c r="S67" s="268"/>
      <c r="T67" s="268"/>
      <c r="U67" s="268"/>
      <c r="V67" s="224"/>
      <c r="W67" s="224"/>
    </row>
    <row r="68" spans="1:23" ht="13.2">
      <c r="A68" s="55"/>
      <c r="B68" s="224"/>
      <c r="C68" s="224"/>
      <c r="D68" s="224"/>
      <c r="E68" s="224"/>
      <c r="F68" s="224"/>
      <c r="G68" s="224"/>
      <c r="H68" s="224"/>
      <c r="I68" s="268"/>
      <c r="J68" s="268"/>
      <c r="K68" s="268"/>
      <c r="L68" s="268"/>
      <c r="M68" s="268"/>
      <c r="N68" s="268"/>
      <c r="O68" s="268"/>
      <c r="P68" s="268"/>
      <c r="Q68" s="268"/>
      <c r="R68" s="268"/>
      <c r="S68" s="268"/>
      <c r="T68" s="268"/>
      <c r="U68" s="268"/>
      <c r="V68" s="224"/>
      <c r="W68" s="224"/>
    </row>
    <row r="69" spans="1:23" ht="13.2">
      <c r="A69" s="55"/>
      <c r="B69" s="224"/>
      <c r="C69" s="225"/>
      <c r="D69" s="225"/>
      <c r="E69" s="224"/>
      <c r="F69" s="224"/>
      <c r="G69" s="224"/>
      <c r="H69" s="224"/>
      <c r="I69" s="224"/>
      <c r="J69" s="224"/>
      <c r="K69" s="224"/>
      <c r="L69" s="224"/>
      <c r="M69" s="224"/>
      <c r="N69" s="224"/>
      <c r="O69" s="224"/>
      <c r="P69" s="224"/>
      <c r="Q69" s="224"/>
      <c r="R69" s="224"/>
      <c r="S69" s="224"/>
      <c r="T69" s="224"/>
      <c r="U69" s="224"/>
      <c r="V69" s="224"/>
      <c r="W69" s="224"/>
    </row>
    <row r="70" spans="1:23" ht="13.2">
      <c r="A70" s="55"/>
      <c r="B70" s="224"/>
      <c r="C70" s="225"/>
      <c r="D70" s="225"/>
      <c r="E70" s="224"/>
      <c r="F70" s="224"/>
      <c r="G70" s="224"/>
      <c r="H70" s="224"/>
      <c r="I70" s="224"/>
      <c r="J70" s="224"/>
      <c r="K70" s="224"/>
      <c r="L70" s="224"/>
      <c r="M70" s="224"/>
      <c r="N70" s="224"/>
      <c r="O70" s="224"/>
      <c r="P70" s="224"/>
      <c r="Q70" s="224"/>
      <c r="R70" s="224"/>
      <c r="S70" s="224"/>
      <c r="T70" s="224"/>
      <c r="U70" s="224"/>
      <c r="V70" s="224"/>
      <c r="W70" s="224"/>
    </row>
    <row r="71" spans="1:23" ht="13.2">
      <c r="A71" s="55"/>
      <c r="B71" s="224"/>
      <c r="C71" s="226"/>
      <c r="D71" s="225"/>
      <c r="E71" s="224"/>
      <c r="F71" s="224"/>
      <c r="G71" s="224"/>
      <c r="H71" s="224"/>
      <c r="I71" s="224"/>
      <c r="J71" s="224"/>
      <c r="K71" s="224"/>
      <c r="L71" s="224"/>
      <c r="M71" s="224"/>
      <c r="N71" s="224"/>
      <c r="O71" s="224"/>
      <c r="P71" s="224"/>
      <c r="Q71" s="224"/>
      <c r="R71" s="224"/>
      <c r="S71" s="224"/>
      <c r="T71" s="224"/>
      <c r="U71" s="224"/>
      <c r="V71" s="224"/>
      <c r="W71" s="224"/>
    </row>
    <row r="72" spans="1:23" ht="13.2">
      <c r="A72" s="55"/>
      <c r="B72" s="218" t="s">
        <v>2355</v>
      </c>
      <c r="C72" s="218"/>
      <c r="D72" s="218"/>
      <c r="E72" s="218"/>
      <c r="F72" s="218"/>
      <c r="G72" s="218"/>
      <c r="H72" s="218"/>
      <c r="I72" s="218"/>
      <c r="J72" s="218"/>
      <c r="K72" s="218"/>
      <c r="L72" s="218"/>
      <c r="M72" s="218"/>
      <c r="N72" s="218"/>
      <c r="O72" s="218"/>
      <c r="P72" s="218"/>
      <c r="Q72" s="218"/>
      <c r="R72" s="218"/>
      <c r="S72" s="218"/>
      <c r="T72" s="218"/>
      <c r="U72" s="218"/>
      <c r="V72" s="218"/>
      <c r="W72" s="224"/>
    </row>
    <row r="73" spans="1:23" ht="13.2">
      <c r="A73" s="55"/>
      <c r="B73" s="224"/>
      <c r="C73" s="224"/>
      <c r="D73" s="224"/>
      <c r="E73" s="224"/>
      <c r="F73" s="224"/>
      <c r="G73" s="224"/>
      <c r="H73" s="224"/>
      <c r="I73" s="224"/>
      <c r="J73" s="224"/>
      <c r="K73" s="224"/>
      <c r="L73" s="224"/>
      <c r="M73" s="224"/>
      <c r="N73" s="224"/>
      <c r="O73" s="224"/>
      <c r="P73" s="224"/>
      <c r="Q73" s="224"/>
      <c r="R73" s="224"/>
      <c r="S73" s="224"/>
      <c r="T73" s="224"/>
      <c r="U73" s="224"/>
      <c r="V73" s="224"/>
      <c r="W73" s="224"/>
    </row>
    <row r="74" spans="1:23" ht="13.2">
      <c r="A74" s="55"/>
      <c r="B74" s="214"/>
      <c r="C74" s="227" t="s">
        <v>2371</v>
      </c>
      <c r="D74" s="214"/>
      <c r="E74" s="55"/>
      <c r="F74" s="55"/>
      <c r="G74" s="55"/>
      <c r="H74" s="55"/>
      <c r="I74" s="55"/>
      <c r="J74" s="55"/>
      <c r="K74" s="55"/>
      <c r="L74" s="55"/>
      <c r="M74" s="55"/>
      <c r="N74" s="55"/>
      <c r="O74" s="55"/>
      <c r="P74" s="55"/>
      <c r="Q74" s="55"/>
      <c r="R74" s="55"/>
      <c r="S74" s="55"/>
      <c r="T74" s="55"/>
      <c r="U74" s="55"/>
      <c r="V74" s="55"/>
      <c r="W74" s="55"/>
    </row>
    <row r="75" spans="1:23" ht="13.2">
      <c r="A75" s="55"/>
      <c r="B75" s="214"/>
      <c r="C75" s="227"/>
      <c r="D75" s="214"/>
      <c r="E75" s="55"/>
      <c r="F75" s="55"/>
      <c r="G75" s="55"/>
      <c r="H75" s="55"/>
      <c r="I75" s="55"/>
      <c r="J75" s="55"/>
      <c r="K75" s="55"/>
      <c r="L75" s="55"/>
      <c r="M75" s="55"/>
      <c r="N75" s="55"/>
      <c r="O75" s="55"/>
      <c r="P75" s="55"/>
      <c r="Q75" s="55"/>
      <c r="R75" s="55"/>
      <c r="S75" s="55"/>
      <c r="T75" s="55"/>
      <c r="U75" s="55"/>
      <c r="V75" s="55"/>
      <c r="W75" s="55"/>
    </row>
    <row r="76" spans="1:23" ht="13.2">
      <c r="A76" s="55"/>
      <c r="B76" s="214"/>
      <c r="C76" s="227"/>
      <c r="D76" s="214"/>
      <c r="E76" s="55"/>
      <c r="F76" s="55"/>
      <c r="G76" s="55"/>
      <c r="H76" s="55"/>
      <c r="I76" s="55"/>
      <c r="J76" s="55"/>
      <c r="K76" s="55"/>
      <c r="L76" s="55"/>
      <c r="M76" s="55"/>
      <c r="N76" s="55"/>
      <c r="O76" s="55"/>
      <c r="P76" s="55"/>
      <c r="Q76" s="55"/>
      <c r="R76" s="55"/>
      <c r="S76" s="55"/>
      <c r="T76" s="55"/>
      <c r="U76" s="55"/>
      <c r="V76" s="55"/>
      <c r="W76" s="55"/>
    </row>
    <row r="77" spans="1:23">
      <c r="A77" s="55"/>
      <c r="B77" s="214"/>
      <c r="C77" s="214"/>
      <c r="D77" s="214"/>
      <c r="E77" s="55"/>
      <c r="F77" s="55"/>
      <c r="G77" s="55"/>
      <c r="H77" s="55"/>
      <c r="I77" s="55"/>
      <c r="J77" s="55"/>
      <c r="K77" s="55"/>
      <c r="L77" s="55"/>
      <c r="M77" s="55"/>
      <c r="N77" s="55"/>
      <c r="O77" s="55"/>
      <c r="P77" s="55"/>
      <c r="Q77" s="55"/>
      <c r="R77" s="55"/>
      <c r="S77" s="55"/>
      <c r="T77" s="55"/>
      <c r="U77" s="55"/>
      <c r="V77" s="55"/>
      <c r="W77" s="55"/>
    </row>
    <row r="78" spans="1:23">
      <c r="A78" s="55"/>
      <c r="B78" s="214"/>
      <c r="C78" s="214"/>
      <c r="D78" s="214"/>
      <c r="E78" s="55"/>
      <c r="F78" s="55"/>
      <c r="G78" s="55"/>
      <c r="H78" s="55"/>
      <c r="I78" s="55"/>
      <c r="J78" s="55"/>
      <c r="K78" s="55"/>
      <c r="L78" s="55"/>
      <c r="M78" s="55"/>
      <c r="N78" s="55"/>
      <c r="O78" s="55"/>
      <c r="P78" s="55"/>
      <c r="Q78" s="55"/>
      <c r="R78" s="55"/>
      <c r="S78" s="55"/>
      <c r="T78" s="55"/>
      <c r="U78" s="55"/>
      <c r="V78" s="55"/>
      <c r="W78" s="55"/>
    </row>
    <row r="79" spans="1:23">
      <c r="A79" s="55"/>
      <c r="B79" s="214"/>
      <c r="C79" s="214"/>
      <c r="D79" s="214"/>
      <c r="E79" s="55"/>
      <c r="F79" s="55"/>
      <c r="G79" s="55"/>
      <c r="H79" s="55"/>
      <c r="I79" s="55"/>
      <c r="J79" s="55"/>
      <c r="K79" s="55"/>
      <c r="L79" s="55"/>
      <c r="M79" s="55"/>
      <c r="N79" s="55"/>
      <c r="O79" s="55"/>
      <c r="P79" s="55"/>
      <c r="Q79" s="55"/>
      <c r="R79" s="55"/>
      <c r="S79" s="55"/>
      <c r="T79" s="55"/>
      <c r="U79" s="55"/>
      <c r="V79" s="55"/>
      <c r="W79" s="55"/>
    </row>
    <row r="80" spans="1:23">
      <c r="A80" s="55"/>
      <c r="B80" s="214"/>
      <c r="C80" s="214"/>
      <c r="D80" s="214"/>
      <c r="E80" s="55"/>
      <c r="F80" s="55"/>
      <c r="G80" s="55"/>
      <c r="H80" s="55"/>
      <c r="I80" s="55"/>
      <c r="J80" s="55"/>
      <c r="K80" s="55"/>
      <c r="L80" s="55"/>
      <c r="M80" s="55"/>
      <c r="N80" s="55"/>
      <c r="O80" s="55"/>
      <c r="P80" s="55"/>
      <c r="Q80" s="55"/>
      <c r="R80" s="55"/>
      <c r="S80" s="55"/>
      <c r="T80" s="55"/>
      <c r="U80" s="55"/>
      <c r="V80" s="55"/>
      <c r="W80" s="55"/>
    </row>
    <row r="81" spans="1:23">
      <c r="A81" s="55"/>
      <c r="B81" s="214"/>
      <c r="C81" s="214"/>
      <c r="D81" s="214"/>
      <c r="E81" s="55"/>
      <c r="F81" s="55"/>
      <c r="G81" s="55"/>
      <c r="H81" s="55"/>
      <c r="I81" s="55"/>
      <c r="J81" s="55"/>
      <c r="K81" s="55"/>
      <c r="L81" s="55"/>
      <c r="M81" s="55"/>
      <c r="N81" s="55"/>
      <c r="O81" s="55"/>
      <c r="P81" s="55"/>
      <c r="Q81" s="55"/>
      <c r="R81" s="55"/>
      <c r="S81" s="55"/>
      <c r="T81" s="55"/>
      <c r="U81" s="55"/>
      <c r="V81" s="55"/>
      <c r="W81" s="55"/>
    </row>
    <row r="82" spans="1:23">
      <c r="A82" s="55"/>
      <c r="B82" s="214"/>
      <c r="C82" s="214"/>
      <c r="D82" s="214"/>
      <c r="E82" s="55"/>
      <c r="F82" s="55"/>
      <c r="G82" s="55"/>
      <c r="H82" s="55"/>
      <c r="I82" s="55"/>
      <c r="J82" s="55"/>
      <c r="K82" s="55"/>
      <c r="L82" s="55"/>
      <c r="M82" s="55"/>
      <c r="N82" s="55"/>
      <c r="O82" s="55"/>
      <c r="P82" s="55"/>
      <c r="Q82" s="55"/>
      <c r="R82" s="55"/>
      <c r="S82" s="55"/>
      <c r="T82" s="55"/>
      <c r="U82" s="55"/>
      <c r="V82" s="55"/>
      <c r="W82" s="55"/>
    </row>
    <row r="83" spans="1:23">
      <c r="A83" s="55"/>
      <c r="B83" s="214"/>
      <c r="C83" s="214"/>
      <c r="D83" s="214"/>
      <c r="E83" s="55"/>
      <c r="F83" s="55"/>
      <c r="G83" s="55"/>
      <c r="H83" s="55"/>
      <c r="I83" s="55"/>
      <c r="J83" s="55"/>
      <c r="K83" s="55"/>
      <c r="L83" s="55"/>
      <c r="M83" s="55"/>
      <c r="N83" s="55"/>
      <c r="O83" s="55"/>
      <c r="P83" s="55"/>
      <c r="Q83" s="55"/>
      <c r="R83" s="55"/>
      <c r="S83" s="55"/>
      <c r="T83" s="55"/>
      <c r="U83" s="55"/>
      <c r="V83" s="55"/>
      <c r="W83" s="55"/>
    </row>
    <row r="84" spans="1:23">
      <c r="A84" s="55"/>
      <c r="B84" s="214"/>
      <c r="C84" s="214"/>
      <c r="D84" s="214"/>
      <c r="E84" s="55"/>
      <c r="F84" s="55"/>
      <c r="G84" s="55"/>
      <c r="H84" s="55"/>
      <c r="I84" s="55"/>
      <c r="J84" s="55"/>
      <c r="K84" s="55"/>
      <c r="L84" s="55"/>
      <c r="M84" s="55"/>
      <c r="N84" s="55"/>
      <c r="O84" s="55"/>
      <c r="P84" s="55"/>
      <c r="Q84" s="55"/>
      <c r="R84" s="55"/>
      <c r="S84" s="55"/>
      <c r="T84" s="55"/>
      <c r="U84" s="55"/>
      <c r="V84" s="55"/>
      <c r="W84" s="55"/>
    </row>
    <row r="85" spans="1:23">
      <c r="A85" s="55"/>
      <c r="B85" s="214"/>
      <c r="C85" s="214"/>
      <c r="D85" s="214"/>
      <c r="E85" s="55"/>
      <c r="F85" s="55"/>
      <c r="G85" s="55"/>
      <c r="H85" s="55"/>
      <c r="I85" s="55"/>
      <c r="J85" s="55"/>
      <c r="K85" s="55"/>
      <c r="L85" s="55"/>
      <c r="M85" s="55"/>
      <c r="N85" s="55"/>
      <c r="O85" s="55"/>
      <c r="P85" s="55"/>
      <c r="Q85" s="55"/>
      <c r="R85" s="55"/>
      <c r="S85" s="55"/>
      <c r="T85" s="55"/>
      <c r="U85" s="55"/>
      <c r="V85" s="55"/>
      <c r="W85" s="55"/>
    </row>
    <row r="86" spans="1:23">
      <c r="A86" s="55"/>
      <c r="B86" s="214"/>
      <c r="C86" s="214"/>
      <c r="D86" s="214"/>
      <c r="E86" s="55"/>
      <c r="F86" s="55"/>
      <c r="G86" s="55"/>
      <c r="H86" s="55"/>
      <c r="I86" s="55"/>
      <c r="J86" s="55"/>
      <c r="K86" s="55"/>
      <c r="L86" s="55"/>
      <c r="M86" s="55"/>
      <c r="N86" s="55"/>
      <c r="O86" s="55"/>
      <c r="P86" s="55"/>
      <c r="Q86" s="55"/>
      <c r="R86" s="55"/>
      <c r="S86" s="55"/>
      <c r="T86" s="55"/>
      <c r="U86" s="55"/>
      <c r="V86" s="55"/>
      <c r="W86" s="55"/>
    </row>
    <row r="87" spans="1:23">
      <c r="A87" s="55"/>
      <c r="B87" s="214"/>
      <c r="C87" s="214"/>
      <c r="D87" s="214"/>
      <c r="E87" s="55"/>
      <c r="F87" s="55"/>
      <c r="G87" s="55"/>
      <c r="H87" s="55"/>
      <c r="I87" s="55"/>
      <c r="J87" s="55"/>
      <c r="K87" s="55"/>
      <c r="L87" s="55"/>
      <c r="M87" s="55"/>
      <c r="N87" s="55"/>
      <c r="O87" s="55"/>
      <c r="P87" s="55"/>
      <c r="Q87" s="55"/>
      <c r="R87" s="55"/>
      <c r="S87" s="55"/>
      <c r="T87" s="55"/>
      <c r="U87" s="55"/>
      <c r="V87" s="55"/>
      <c r="W87" s="55"/>
    </row>
    <row r="88" spans="1:23">
      <c r="A88" s="55"/>
      <c r="B88" s="214"/>
      <c r="C88" s="214"/>
      <c r="D88" s="214"/>
      <c r="E88" s="55"/>
      <c r="F88" s="55"/>
      <c r="G88" s="55"/>
      <c r="H88" s="55"/>
      <c r="I88" s="55"/>
      <c r="J88" s="55"/>
      <c r="K88" s="55"/>
      <c r="L88" s="55"/>
      <c r="M88" s="55"/>
      <c r="N88" s="55"/>
      <c r="O88" s="55"/>
      <c r="P88" s="55"/>
      <c r="Q88" s="55"/>
      <c r="R88" s="55"/>
      <c r="S88" s="55"/>
      <c r="T88" s="55"/>
      <c r="U88" s="55"/>
      <c r="V88" s="55"/>
      <c r="W88" s="55"/>
    </row>
    <row r="89" spans="1:23">
      <c r="A89" s="55"/>
      <c r="B89" s="214"/>
      <c r="C89" s="214"/>
      <c r="D89" s="214"/>
      <c r="E89" s="55"/>
      <c r="F89" s="55"/>
      <c r="G89" s="55"/>
      <c r="H89" s="55"/>
      <c r="I89" s="55"/>
      <c r="J89" s="55"/>
      <c r="K89" s="55"/>
      <c r="L89" s="55"/>
      <c r="M89" s="55"/>
      <c r="N89" s="55"/>
      <c r="O89" s="55"/>
      <c r="P89" s="55"/>
      <c r="Q89" s="55"/>
      <c r="R89" s="55"/>
      <c r="S89" s="55"/>
      <c r="T89" s="55"/>
      <c r="U89" s="55"/>
      <c r="V89" s="55"/>
      <c r="W89" s="55"/>
    </row>
    <row r="90" spans="1:23">
      <c r="A90" s="55"/>
      <c r="B90" s="214"/>
      <c r="C90" s="214"/>
      <c r="D90" s="214"/>
      <c r="E90" s="55"/>
      <c r="F90" s="55"/>
      <c r="G90" s="55"/>
      <c r="H90" s="55"/>
      <c r="I90" s="55"/>
      <c r="J90" s="55"/>
      <c r="K90" s="55"/>
      <c r="L90" s="55"/>
      <c r="M90" s="55"/>
      <c r="N90" s="55"/>
      <c r="O90" s="55"/>
      <c r="P90" s="55"/>
      <c r="Q90" s="55"/>
      <c r="R90" s="55"/>
      <c r="S90" s="55"/>
      <c r="T90" s="55"/>
      <c r="U90" s="55"/>
      <c r="V90" s="55"/>
      <c r="W90" s="55"/>
    </row>
    <row r="91" spans="1:23">
      <c r="A91" s="55"/>
      <c r="B91" s="214"/>
      <c r="C91" s="214"/>
      <c r="D91" s="214"/>
      <c r="E91" s="55"/>
      <c r="F91" s="55"/>
      <c r="G91" s="55"/>
      <c r="H91" s="55"/>
      <c r="I91" s="55"/>
      <c r="J91" s="55"/>
      <c r="K91" s="55"/>
      <c r="L91" s="55"/>
      <c r="M91" s="55"/>
      <c r="N91" s="55"/>
      <c r="O91" s="55"/>
      <c r="P91" s="55"/>
      <c r="Q91" s="55"/>
      <c r="R91" s="55"/>
      <c r="S91" s="55"/>
      <c r="T91" s="55"/>
      <c r="U91" s="55"/>
      <c r="V91" s="55"/>
      <c r="W91" s="55"/>
    </row>
    <row r="92" spans="1:23">
      <c r="A92" s="55"/>
      <c r="B92" s="214"/>
      <c r="C92" s="214"/>
      <c r="D92" s="214"/>
      <c r="E92" s="55"/>
      <c r="F92" s="55"/>
      <c r="G92" s="55"/>
      <c r="H92" s="55"/>
      <c r="I92" s="55"/>
      <c r="J92" s="55"/>
      <c r="K92" s="55"/>
      <c r="L92" s="55"/>
      <c r="M92" s="55"/>
      <c r="N92" s="55"/>
      <c r="O92" s="55"/>
      <c r="P92" s="55"/>
      <c r="Q92" s="55"/>
      <c r="R92" s="55"/>
      <c r="S92" s="55"/>
      <c r="T92" s="55"/>
      <c r="U92" s="55"/>
      <c r="V92" s="55"/>
      <c r="W92" s="55"/>
    </row>
    <row r="93" spans="1:23">
      <c r="A93" s="55"/>
      <c r="B93" s="214"/>
      <c r="C93" s="214"/>
      <c r="D93" s="214"/>
      <c r="E93" s="55"/>
      <c r="F93" s="55"/>
      <c r="G93" s="55"/>
      <c r="H93" s="55"/>
      <c r="I93" s="55"/>
      <c r="J93" s="55"/>
      <c r="K93" s="55"/>
      <c r="L93" s="55"/>
      <c r="M93" s="55"/>
      <c r="N93" s="55"/>
      <c r="O93" s="55"/>
      <c r="P93" s="55"/>
      <c r="Q93" s="55"/>
      <c r="R93" s="55"/>
      <c r="S93" s="55"/>
      <c r="T93" s="55"/>
      <c r="U93" s="55"/>
      <c r="V93" s="55"/>
      <c r="W93" s="55"/>
    </row>
    <row r="94" spans="1:23">
      <c r="A94" s="55"/>
      <c r="B94" s="214"/>
      <c r="C94" s="214"/>
      <c r="D94" s="214"/>
      <c r="E94" s="55"/>
      <c r="F94" s="55"/>
      <c r="G94" s="55"/>
      <c r="H94" s="55"/>
      <c r="I94" s="55"/>
      <c r="J94" s="55"/>
      <c r="K94" s="55"/>
      <c r="L94" s="55"/>
      <c r="M94" s="55"/>
      <c r="N94" s="55"/>
      <c r="O94" s="55"/>
      <c r="P94" s="55"/>
      <c r="Q94" s="55"/>
      <c r="R94" s="55"/>
      <c r="S94" s="55"/>
      <c r="T94" s="55"/>
      <c r="U94" s="55"/>
      <c r="V94" s="55"/>
      <c r="W94" s="55"/>
    </row>
    <row r="95" spans="1:23">
      <c r="A95" s="55"/>
      <c r="B95" s="214"/>
      <c r="C95" s="214"/>
      <c r="D95" s="214"/>
      <c r="E95" s="55"/>
      <c r="F95" s="55"/>
      <c r="G95" s="55"/>
      <c r="H95" s="55"/>
      <c r="I95" s="55"/>
      <c r="J95" s="55"/>
      <c r="K95" s="55"/>
      <c r="L95" s="55"/>
      <c r="M95" s="55"/>
      <c r="N95" s="55"/>
      <c r="O95" s="55"/>
      <c r="P95" s="55"/>
      <c r="Q95" s="55"/>
      <c r="R95" s="55"/>
      <c r="S95" s="55"/>
      <c r="T95" s="55"/>
      <c r="U95" s="55"/>
      <c r="V95" s="55"/>
      <c r="W95" s="55"/>
    </row>
    <row r="96" spans="1:23">
      <c r="A96" s="55"/>
      <c r="B96" s="214"/>
      <c r="C96" s="214"/>
      <c r="D96" s="214"/>
      <c r="E96" s="55"/>
      <c r="F96" s="55"/>
      <c r="G96" s="55"/>
      <c r="H96" s="55"/>
      <c r="I96" s="55"/>
      <c r="J96" s="55"/>
      <c r="K96" s="55"/>
      <c r="L96" s="55"/>
      <c r="M96" s="55"/>
      <c r="N96" s="55"/>
      <c r="O96" s="55"/>
      <c r="P96" s="55"/>
      <c r="Q96" s="55"/>
      <c r="R96" s="55"/>
      <c r="S96" s="55"/>
      <c r="T96" s="55"/>
      <c r="U96" s="55"/>
      <c r="V96" s="55"/>
      <c r="W96" s="55"/>
    </row>
    <row r="97" spans="1:23">
      <c r="A97" s="55"/>
      <c r="B97" s="214"/>
      <c r="C97" s="214"/>
      <c r="D97" s="214"/>
      <c r="E97" s="55"/>
      <c r="F97" s="55"/>
      <c r="G97" s="55"/>
      <c r="H97" s="55"/>
      <c r="I97" s="55"/>
      <c r="J97" s="55"/>
      <c r="K97" s="55"/>
      <c r="L97" s="55"/>
      <c r="M97" s="55"/>
      <c r="N97" s="55"/>
      <c r="O97" s="55"/>
      <c r="P97" s="55"/>
      <c r="Q97" s="55"/>
      <c r="R97" s="55"/>
      <c r="S97" s="55"/>
      <c r="T97" s="55"/>
      <c r="U97" s="55"/>
      <c r="V97" s="55"/>
      <c r="W97" s="55"/>
    </row>
    <row r="98" spans="1:23">
      <c r="A98" s="55"/>
      <c r="B98" s="214"/>
      <c r="C98" s="214"/>
      <c r="D98" s="214"/>
      <c r="E98" s="55"/>
      <c r="F98" s="55"/>
      <c r="G98" s="55"/>
      <c r="H98" s="55"/>
      <c r="I98" s="55"/>
      <c r="J98" s="55"/>
      <c r="K98" s="55"/>
      <c r="L98" s="55"/>
      <c r="M98" s="55"/>
      <c r="N98" s="55"/>
      <c r="O98" s="55"/>
      <c r="P98" s="55"/>
      <c r="Q98" s="55"/>
      <c r="R98" s="55"/>
      <c r="S98" s="55"/>
      <c r="T98" s="55"/>
      <c r="U98" s="55"/>
      <c r="V98" s="55"/>
      <c r="W98" s="55"/>
    </row>
    <row r="99" spans="1:23">
      <c r="A99" s="55"/>
      <c r="B99" s="214"/>
      <c r="C99" s="214"/>
      <c r="D99" s="214"/>
      <c r="E99" s="55"/>
      <c r="F99" s="55"/>
      <c r="G99" s="55"/>
      <c r="H99" s="55"/>
      <c r="I99" s="55"/>
      <c r="J99" s="55"/>
      <c r="K99" s="55"/>
      <c r="L99" s="55"/>
      <c r="M99" s="55"/>
      <c r="N99" s="55"/>
      <c r="O99" s="55"/>
      <c r="P99" s="55"/>
      <c r="Q99" s="55"/>
      <c r="R99" s="55"/>
      <c r="S99" s="55"/>
      <c r="T99" s="55"/>
      <c r="U99" s="55"/>
      <c r="V99" s="55"/>
      <c r="W99" s="55"/>
    </row>
    <row r="100" spans="1:23">
      <c r="A100" s="55"/>
      <c r="B100" s="214"/>
      <c r="C100" s="214"/>
      <c r="D100" s="214"/>
      <c r="E100" s="55"/>
      <c r="F100" s="55"/>
      <c r="G100" s="55"/>
      <c r="H100" s="55"/>
      <c r="I100" s="55"/>
      <c r="J100" s="55"/>
      <c r="K100" s="55"/>
      <c r="L100" s="55"/>
      <c r="M100" s="55"/>
      <c r="N100" s="55"/>
      <c r="O100" s="55"/>
      <c r="P100" s="55"/>
      <c r="Q100" s="55"/>
      <c r="R100" s="55"/>
      <c r="S100" s="55"/>
      <c r="T100" s="55"/>
      <c r="U100" s="55"/>
      <c r="V100" s="55"/>
      <c r="W100" s="55"/>
    </row>
    <row r="101" spans="1:23">
      <c r="A101" s="55"/>
      <c r="B101" s="214"/>
      <c r="C101" s="214"/>
      <c r="D101" s="214"/>
      <c r="E101" s="55"/>
      <c r="F101" s="55"/>
      <c r="G101" s="55"/>
      <c r="H101" s="55"/>
      <c r="I101" s="55"/>
      <c r="J101" s="55"/>
      <c r="K101" s="55"/>
      <c r="L101" s="55"/>
      <c r="M101" s="55"/>
      <c r="N101" s="55"/>
      <c r="O101" s="55"/>
      <c r="P101" s="55"/>
      <c r="Q101" s="55"/>
      <c r="R101" s="55"/>
      <c r="S101" s="55"/>
      <c r="T101" s="55"/>
      <c r="U101" s="55"/>
      <c r="V101" s="55"/>
      <c r="W101" s="55"/>
    </row>
    <row r="102" spans="1:23">
      <c r="A102" s="55"/>
      <c r="B102" s="214"/>
      <c r="C102" s="214"/>
      <c r="D102" s="214"/>
      <c r="E102" s="55"/>
      <c r="F102" s="55"/>
      <c r="G102" s="55"/>
      <c r="H102" s="55"/>
      <c r="I102" s="55"/>
      <c r="J102" s="55"/>
      <c r="K102" s="55"/>
      <c r="L102" s="55"/>
      <c r="M102" s="55"/>
      <c r="N102" s="55"/>
      <c r="O102" s="55"/>
      <c r="P102" s="55"/>
      <c r="Q102" s="55"/>
      <c r="R102" s="55"/>
      <c r="S102" s="55"/>
      <c r="T102" s="55"/>
      <c r="U102" s="55"/>
      <c r="V102" s="55"/>
      <c r="W102" s="55"/>
    </row>
    <row r="103" spans="1:23">
      <c r="A103" s="55"/>
      <c r="B103" s="55"/>
      <c r="C103" s="55"/>
      <c r="D103" s="55"/>
      <c r="E103" s="55"/>
      <c r="F103" s="55"/>
      <c r="G103" s="55"/>
      <c r="H103" s="55"/>
      <c r="I103" s="55"/>
      <c r="J103" s="55"/>
      <c r="K103" s="55"/>
      <c r="L103" s="55"/>
      <c r="M103" s="55"/>
      <c r="N103" s="55"/>
      <c r="O103" s="55"/>
      <c r="P103" s="55"/>
      <c r="Q103" s="55"/>
      <c r="R103" s="55"/>
      <c r="S103" s="55"/>
      <c r="T103" s="55"/>
      <c r="U103" s="55"/>
      <c r="V103" s="55"/>
      <c r="W103" s="55"/>
    </row>
    <row r="104" spans="1:23">
      <c r="A104" s="55"/>
      <c r="B104" s="55"/>
      <c r="C104" s="55"/>
      <c r="D104" s="55"/>
      <c r="E104" s="55"/>
      <c r="F104" s="55"/>
      <c r="G104" s="55"/>
      <c r="H104" s="55"/>
      <c r="I104" s="55"/>
      <c r="J104" s="55"/>
      <c r="K104" s="55"/>
      <c r="L104" s="55"/>
      <c r="M104" s="55"/>
      <c r="N104" s="55"/>
      <c r="O104" s="55"/>
      <c r="P104" s="55"/>
      <c r="Q104" s="55"/>
      <c r="R104" s="55"/>
      <c r="S104" s="55"/>
      <c r="T104" s="55"/>
      <c r="U104" s="55"/>
      <c r="V104" s="55"/>
      <c r="W104" s="55"/>
    </row>
    <row r="105" spans="1:23">
      <c r="A105" s="55"/>
      <c r="B105" s="55"/>
      <c r="C105" s="55"/>
      <c r="D105" s="55"/>
      <c r="E105" s="55"/>
      <c r="F105" s="55"/>
      <c r="G105" s="55"/>
      <c r="H105" s="55"/>
      <c r="I105" s="55"/>
      <c r="J105" s="55"/>
      <c r="K105" s="55"/>
      <c r="L105" s="55"/>
      <c r="M105" s="55"/>
      <c r="N105" s="55"/>
      <c r="O105" s="55"/>
      <c r="P105" s="55"/>
      <c r="Q105" s="55"/>
      <c r="R105" s="55"/>
      <c r="S105" s="55"/>
      <c r="T105" s="55"/>
      <c r="U105" s="55"/>
      <c r="V105" s="55"/>
      <c r="W105" s="55"/>
    </row>
    <row r="106" spans="1:23">
      <c r="A106" s="55"/>
      <c r="B106" s="55"/>
      <c r="C106" s="55"/>
      <c r="D106" s="55"/>
      <c r="E106" s="55"/>
      <c r="F106" s="55"/>
      <c r="G106" s="55"/>
      <c r="H106" s="55"/>
      <c r="I106" s="55"/>
      <c r="J106" s="55"/>
      <c r="K106" s="55"/>
      <c r="L106" s="55"/>
      <c r="M106" s="55"/>
      <c r="N106" s="55"/>
      <c r="O106" s="55"/>
      <c r="P106" s="55"/>
      <c r="Q106" s="55"/>
      <c r="R106" s="55"/>
      <c r="S106" s="55"/>
      <c r="T106" s="55"/>
      <c r="U106" s="55"/>
      <c r="V106" s="55"/>
      <c r="W106" s="55"/>
    </row>
    <row r="107" spans="1:23" ht="13.2">
      <c r="A107" s="55"/>
      <c r="B107" s="55"/>
      <c r="C107" s="231" t="s">
        <v>2392</v>
      </c>
      <c r="D107" s="55"/>
      <c r="E107" s="55"/>
      <c r="F107" s="55"/>
      <c r="G107" s="55"/>
      <c r="H107" s="55"/>
      <c r="I107" s="55"/>
      <c r="J107" s="55"/>
      <c r="K107" s="55"/>
      <c r="L107" s="55"/>
      <c r="M107" s="55"/>
      <c r="N107" s="55"/>
      <c r="O107" s="55"/>
      <c r="P107" s="55"/>
      <c r="Q107" s="55"/>
      <c r="R107" s="55"/>
      <c r="S107" s="55"/>
      <c r="T107" s="55"/>
      <c r="U107" s="55"/>
      <c r="V107" s="55"/>
      <c r="W107" s="55"/>
    </row>
    <row r="108" spans="1:23">
      <c r="A108" s="55"/>
      <c r="B108" s="55"/>
      <c r="C108" s="55"/>
      <c r="D108" s="55"/>
      <c r="E108" s="55"/>
      <c r="F108" s="55"/>
      <c r="G108" s="55"/>
      <c r="H108" s="55"/>
      <c r="I108" s="55"/>
      <c r="J108" s="55"/>
      <c r="K108" s="55"/>
      <c r="L108" s="55"/>
      <c r="M108" s="55"/>
      <c r="N108" s="55"/>
      <c r="O108" s="55"/>
      <c r="P108" s="55"/>
      <c r="Q108" s="55"/>
      <c r="R108" s="55"/>
      <c r="S108" s="55"/>
      <c r="T108" s="55"/>
      <c r="U108" s="55"/>
      <c r="V108" s="55"/>
      <c r="W108" s="55"/>
    </row>
    <row r="109" spans="1:23">
      <c r="A109" s="55"/>
      <c r="B109" s="55"/>
      <c r="C109" s="55"/>
      <c r="D109" s="55"/>
      <c r="E109" s="55"/>
      <c r="F109" s="55"/>
      <c r="G109" s="55"/>
      <c r="H109" s="55"/>
      <c r="I109" s="55"/>
      <c r="J109" s="55"/>
      <c r="K109" s="55"/>
      <c r="L109" s="55"/>
      <c r="M109" s="55"/>
      <c r="N109" s="55"/>
      <c r="O109" s="55"/>
      <c r="P109" s="55"/>
      <c r="Q109" s="55"/>
      <c r="R109" s="55"/>
      <c r="S109" s="55"/>
      <c r="T109" s="55"/>
      <c r="U109" s="55"/>
      <c r="V109" s="55"/>
      <c r="W109" s="55"/>
    </row>
    <row r="110" spans="1:23">
      <c r="A110" s="55"/>
      <c r="B110" s="55"/>
      <c r="C110" s="55"/>
      <c r="D110" s="55"/>
      <c r="E110" s="55"/>
      <c r="F110" s="55"/>
      <c r="G110" s="55"/>
      <c r="H110" s="55"/>
      <c r="I110" s="55"/>
      <c r="J110" s="55"/>
      <c r="K110" s="55"/>
      <c r="L110" s="55"/>
      <c r="M110" s="55"/>
      <c r="N110" s="55"/>
      <c r="O110" s="55"/>
      <c r="P110" s="55"/>
      <c r="Q110" s="55"/>
      <c r="R110" s="55"/>
      <c r="S110" s="55"/>
      <c r="T110" s="55"/>
      <c r="U110" s="55"/>
      <c r="V110" s="55"/>
      <c r="W110" s="55"/>
    </row>
    <row r="111" spans="1:23">
      <c r="A111" s="55"/>
      <c r="B111" s="55"/>
      <c r="C111" s="55"/>
      <c r="D111" s="55"/>
      <c r="E111" s="55"/>
      <c r="F111" s="55"/>
      <c r="G111" s="55"/>
      <c r="H111" s="55"/>
      <c r="I111" s="55"/>
      <c r="J111" s="55"/>
      <c r="K111" s="55"/>
      <c r="L111" s="55"/>
      <c r="M111" s="55"/>
      <c r="N111" s="55"/>
      <c r="O111" s="55"/>
      <c r="P111" s="55"/>
      <c r="Q111" s="55"/>
      <c r="R111" s="55"/>
      <c r="S111" s="55"/>
      <c r="T111" s="55"/>
      <c r="U111" s="55"/>
      <c r="V111" s="55"/>
      <c r="W111" s="55"/>
    </row>
    <row r="112" spans="1:23">
      <c r="A112" s="55"/>
      <c r="B112" s="55"/>
      <c r="C112" s="55"/>
      <c r="D112" s="55"/>
      <c r="E112" s="55"/>
      <c r="F112" s="55"/>
      <c r="G112" s="55"/>
      <c r="H112" s="55"/>
      <c r="I112" s="55"/>
      <c r="J112" s="55"/>
      <c r="K112" s="55"/>
      <c r="L112" s="55"/>
      <c r="M112" s="55"/>
      <c r="N112" s="55"/>
      <c r="O112" s="55"/>
      <c r="P112" s="55"/>
      <c r="Q112" s="55"/>
      <c r="R112" s="55"/>
      <c r="S112" s="55"/>
      <c r="T112" s="55"/>
      <c r="U112" s="55"/>
      <c r="V112" s="55"/>
      <c r="W112" s="55"/>
    </row>
    <row r="113" spans="1:23">
      <c r="A113" s="55"/>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c r="A114" s="55"/>
      <c r="B114" s="55"/>
      <c r="C114" s="55"/>
      <c r="D114" s="55"/>
      <c r="E114" s="55"/>
      <c r="F114" s="55"/>
      <c r="G114" s="55"/>
      <c r="H114" s="55"/>
      <c r="I114" s="55"/>
      <c r="J114" s="55"/>
      <c r="K114" s="55"/>
      <c r="L114" s="55"/>
      <c r="M114" s="55"/>
      <c r="N114" s="55"/>
      <c r="O114" s="55"/>
      <c r="P114" s="55"/>
      <c r="Q114" s="55"/>
      <c r="R114" s="55"/>
      <c r="S114" s="55"/>
      <c r="T114" s="55"/>
      <c r="U114" s="55"/>
      <c r="V114" s="55"/>
      <c r="W114" s="55"/>
    </row>
    <row r="115" spans="1:23">
      <c r="A115" s="55"/>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c r="A116" s="55"/>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c r="A117" s="55"/>
      <c r="B117" s="55"/>
      <c r="C117" s="55"/>
      <c r="D117" s="55"/>
      <c r="E117" s="55"/>
      <c r="F117" s="55"/>
      <c r="G117" s="55"/>
      <c r="H117" s="55"/>
      <c r="I117" s="55"/>
      <c r="J117" s="55"/>
      <c r="K117" s="55"/>
      <c r="L117" s="55"/>
      <c r="M117" s="55"/>
      <c r="N117" s="55"/>
      <c r="O117" s="55"/>
      <c r="P117" s="55"/>
      <c r="Q117" s="55"/>
      <c r="R117" s="55"/>
      <c r="S117" s="55"/>
      <c r="T117" s="55"/>
      <c r="U117" s="55"/>
      <c r="V117" s="55"/>
      <c r="W117" s="55"/>
    </row>
    <row r="118" spans="1:23">
      <c r="A118" s="55"/>
      <c r="B118" s="55"/>
      <c r="C118" s="55"/>
      <c r="D118" s="55"/>
      <c r="E118" s="55"/>
      <c r="F118" s="55"/>
      <c r="G118" s="55"/>
      <c r="H118" s="55"/>
      <c r="I118" s="55"/>
      <c r="J118" s="55"/>
      <c r="K118" s="55"/>
      <c r="L118" s="55"/>
      <c r="M118" s="55"/>
      <c r="N118" s="55"/>
      <c r="O118" s="55"/>
      <c r="P118" s="55"/>
      <c r="Q118" s="55"/>
      <c r="R118" s="55"/>
      <c r="S118" s="55"/>
      <c r="T118" s="55"/>
      <c r="U118" s="55"/>
      <c r="V118" s="55"/>
      <c r="W118" s="55"/>
    </row>
    <row r="119" spans="1:23">
      <c r="A119" s="55"/>
      <c r="B119" s="55"/>
      <c r="C119" s="55"/>
      <c r="D119" s="55"/>
      <c r="E119" s="55"/>
      <c r="F119" s="55"/>
      <c r="G119" s="55"/>
      <c r="H119" s="55"/>
      <c r="I119" s="55"/>
      <c r="J119" s="55"/>
      <c r="K119" s="55"/>
      <c r="L119" s="55"/>
      <c r="M119" s="55"/>
      <c r="N119" s="55"/>
      <c r="O119" s="55"/>
      <c r="P119" s="55"/>
      <c r="Q119" s="55"/>
      <c r="R119" s="55"/>
      <c r="S119" s="55"/>
      <c r="T119" s="55"/>
      <c r="U119" s="55"/>
      <c r="V119" s="55"/>
      <c r="W119" s="55"/>
    </row>
    <row r="120" spans="1:23">
      <c r="A120" s="55"/>
      <c r="B120" s="55"/>
      <c r="C120" s="55"/>
      <c r="D120" s="55"/>
      <c r="E120" s="55"/>
      <c r="F120" s="55"/>
      <c r="G120" s="55"/>
      <c r="H120" s="55"/>
      <c r="I120" s="55"/>
      <c r="J120" s="55"/>
      <c r="K120" s="55"/>
      <c r="L120" s="55"/>
      <c r="M120" s="55"/>
      <c r="N120" s="55"/>
      <c r="O120" s="55"/>
      <c r="P120" s="55"/>
      <c r="Q120" s="55"/>
      <c r="R120" s="55"/>
      <c r="S120" s="55"/>
      <c r="T120" s="55"/>
      <c r="U120" s="55"/>
      <c r="V120" s="55"/>
      <c r="W120" s="55"/>
    </row>
    <row r="121" spans="1:23">
      <c r="A121" s="55"/>
      <c r="B121" s="55"/>
      <c r="C121" s="55"/>
      <c r="D121" s="55"/>
      <c r="E121" s="55"/>
      <c r="F121" s="55"/>
      <c r="G121" s="55"/>
      <c r="H121" s="55"/>
      <c r="I121" s="55"/>
      <c r="J121" s="55"/>
      <c r="K121" s="55"/>
      <c r="L121" s="55"/>
      <c r="M121" s="55"/>
      <c r="N121" s="55"/>
      <c r="O121" s="55"/>
      <c r="P121" s="55"/>
      <c r="Q121" s="55"/>
      <c r="R121" s="55"/>
      <c r="S121" s="55"/>
      <c r="T121" s="55"/>
      <c r="U121" s="55"/>
      <c r="V121" s="55"/>
      <c r="W121" s="55"/>
    </row>
    <row r="122" spans="1:23">
      <c r="A122" s="55"/>
      <c r="B122" s="55"/>
      <c r="C122" s="55"/>
      <c r="D122" s="55"/>
      <c r="E122" s="55"/>
      <c r="F122" s="55"/>
      <c r="G122" s="55"/>
      <c r="H122" s="55"/>
      <c r="I122" s="55"/>
      <c r="J122" s="55"/>
      <c r="K122" s="55"/>
      <c r="L122" s="55"/>
      <c r="M122" s="55"/>
      <c r="N122" s="55"/>
      <c r="O122" s="55"/>
      <c r="P122" s="55"/>
      <c r="Q122" s="55"/>
      <c r="R122" s="55"/>
      <c r="S122" s="55"/>
      <c r="T122" s="55"/>
      <c r="U122" s="55"/>
      <c r="V122" s="55"/>
      <c r="W122" s="55"/>
    </row>
    <row r="123" spans="1:23">
      <c r="A123" s="55"/>
      <c r="B123" s="55"/>
      <c r="C123" s="55"/>
      <c r="D123" s="55"/>
      <c r="E123" s="55"/>
      <c r="F123" s="55"/>
      <c r="G123" s="55"/>
      <c r="H123" s="55"/>
      <c r="I123" s="55"/>
      <c r="J123" s="55"/>
      <c r="K123" s="55"/>
      <c r="L123" s="55"/>
      <c r="M123" s="55"/>
      <c r="N123" s="55"/>
      <c r="O123" s="55"/>
      <c r="P123" s="55"/>
      <c r="Q123" s="55"/>
      <c r="R123" s="55"/>
      <c r="S123" s="55"/>
      <c r="T123" s="55"/>
      <c r="U123" s="55"/>
      <c r="V123" s="55"/>
      <c r="W123" s="55"/>
    </row>
    <row r="124" spans="1:23">
      <c r="A124" s="55"/>
      <c r="B124" s="55"/>
      <c r="C124" s="55"/>
      <c r="D124" s="55"/>
      <c r="E124" s="55"/>
      <c r="F124" s="55"/>
      <c r="G124" s="55"/>
      <c r="H124" s="55"/>
      <c r="I124" s="55"/>
      <c r="J124" s="55"/>
      <c r="K124" s="55"/>
      <c r="L124" s="55"/>
      <c r="M124" s="55"/>
      <c r="N124" s="55"/>
      <c r="O124" s="55"/>
      <c r="P124" s="55"/>
      <c r="Q124" s="55"/>
      <c r="R124" s="55"/>
      <c r="S124" s="55"/>
      <c r="T124" s="55"/>
      <c r="U124" s="55"/>
      <c r="V124" s="55"/>
      <c r="W124" s="55"/>
    </row>
    <row r="125" spans="1:23">
      <c r="A125" s="55"/>
      <c r="B125" s="55"/>
      <c r="C125" s="55"/>
      <c r="D125" s="55"/>
      <c r="E125" s="55"/>
      <c r="F125" s="55"/>
      <c r="G125" s="55"/>
      <c r="H125" s="55"/>
      <c r="I125" s="55"/>
      <c r="J125" s="55"/>
      <c r="K125" s="55"/>
      <c r="L125" s="55"/>
      <c r="M125" s="55"/>
      <c r="N125" s="55"/>
      <c r="O125" s="55"/>
      <c r="P125" s="55"/>
      <c r="Q125" s="55"/>
      <c r="R125" s="55"/>
      <c r="S125" s="55"/>
      <c r="T125" s="55"/>
      <c r="U125" s="55"/>
      <c r="V125" s="55"/>
      <c r="W125" s="55"/>
    </row>
    <row r="126" spans="1:23">
      <c r="A126" s="55"/>
      <c r="B126" s="55"/>
      <c r="C126" s="55"/>
      <c r="D126" s="55"/>
      <c r="E126" s="55"/>
      <c r="F126" s="55"/>
      <c r="G126" s="55"/>
      <c r="H126" s="55"/>
      <c r="I126" s="55"/>
      <c r="J126" s="55"/>
      <c r="K126" s="55"/>
      <c r="L126" s="55"/>
      <c r="M126" s="55"/>
      <c r="N126" s="55"/>
      <c r="O126" s="55"/>
      <c r="P126" s="55"/>
      <c r="Q126" s="55"/>
      <c r="R126" s="55"/>
      <c r="S126" s="55"/>
      <c r="T126" s="55"/>
      <c r="U126" s="55"/>
      <c r="V126" s="55"/>
      <c r="W126" s="55"/>
    </row>
    <row r="127" spans="1:23">
      <c r="A127" s="55"/>
      <c r="B127" s="55"/>
      <c r="C127" s="55"/>
      <c r="D127" s="55"/>
      <c r="E127" s="55"/>
      <c r="F127" s="55"/>
      <c r="G127" s="55"/>
      <c r="H127" s="55"/>
      <c r="I127" s="55"/>
      <c r="J127" s="55"/>
      <c r="K127" s="55"/>
      <c r="L127" s="55"/>
      <c r="M127" s="55"/>
      <c r="N127" s="55"/>
      <c r="O127" s="55"/>
      <c r="P127" s="55"/>
      <c r="Q127" s="55"/>
      <c r="R127" s="55"/>
      <c r="S127" s="55"/>
      <c r="T127" s="55"/>
      <c r="U127" s="55"/>
      <c r="V127" s="55"/>
      <c r="W127" s="55"/>
    </row>
    <row r="128" spans="1:23">
      <c r="A128" s="55"/>
      <c r="B128" s="55"/>
      <c r="C128" s="55"/>
      <c r="D128" s="55"/>
      <c r="E128" s="55"/>
      <c r="F128" s="55"/>
      <c r="G128" s="55"/>
      <c r="H128" s="55"/>
      <c r="I128" s="55"/>
      <c r="J128" s="55"/>
      <c r="K128" s="55"/>
      <c r="L128" s="55"/>
      <c r="M128" s="55"/>
      <c r="N128" s="55"/>
      <c r="O128" s="55"/>
      <c r="P128" s="55"/>
      <c r="Q128" s="55"/>
      <c r="R128" s="55"/>
      <c r="S128" s="55"/>
      <c r="T128" s="55"/>
      <c r="U128" s="55"/>
      <c r="V128" s="55"/>
      <c r="W128" s="55"/>
    </row>
    <row r="129" spans="1:23">
      <c r="A129" s="55"/>
      <c r="B129" s="55"/>
      <c r="C129" s="55"/>
      <c r="D129" s="55"/>
      <c r="E129" s="55"/>
      <c r="F129" s="55"/>
      <c r="G129" s="55"/>
      <c r="H129" s="55"/>
      <c r="I129" s="55"/>
      <c r="J129" s="55"/>
      <c r="K129" s="55"/>
      <c r="L129" s="55"/>
      <c r="M129" s="55"/>
      <c r="N129" s="55"/>
      <c r="O129" s="55"/>
      <c r="P129" s="55"/>
      <c r="Q129" s="55"/>
      <c r="R129" s="55"/>
      <c r="S129" s="55"/>
      <c r="T129" s="55"/>
      <c r="U129" s="55"/>
      <c r="V129" s="55"/>
      <c r="W129" s="55"/>
    </row>
    <row r="130" spans="1:23">
      <c r="A130" s="55"/>
      <c r="B130" s="55"/>
      <c r="C130" s="55"/>
      <c r="D130" s="55"/>
      <c r="E130" s="55"/>
      <c r="F130" s="55"/>
      <c r="G130" s="55"/>
      <c r="H130" s="55"/>
      <c r="I130" s="55"/>
      <c r="J130" s="55"/>
      <c r="K130" s="55"/>
      <c r="L130" s="55"/>
      <c r="M130" s="55"/>
      <c r="N130" s="55"/>
      <c r="O130" s="55"/>
      <c r="P130" s="55"/>
      <c r="Q130" s="55"/>
      <c r="R130" s="55"/>
      <c r="S130" s="55"/>
      <c r="T130" s="55"/>
      <c r="U130" s="55"/>
      <c r="V130" s="55"/>
      <c r="W130" s="55"/>
    </row>
    <row r="131" spans="1:23">
      <c r="A131" s="55"/>
      <c r="B131" s="55"/>
      <c r="C131" s="55"/>
      <c r="D131" s="55"/>
      <c r="E131" s="55"/>
      <c r="F131" s="55"/>
      <c r="G131" s="55"/>
      <c r="H131" s="55"/>
      <c r="I131" s="55"/>
      <c r="J131" s="55"/>
      <c r="K131" s="55"/>
      <c r="L131" s="55"/>
      <c r="M131" s="55"/>
      <c r="N131" s="55"/>
      <c r="O131" s="55"/>
      <c r="P131" s="55"/>
      <c r="Q131" s="55"/>
      <c r="R131" s="55"/>
      <c r="S131" s="55"/>
      <c r="T131" s="55"/>
      <c r="U131" s="55"/>
      <c r="V131" s="55"/>
      <c r="W131" s="55"/>
    </row>
    <row r="132" spans="1:23">
      <c r="A132" s="55"/>
      <c r="B132" s="55"/>
      <c r="C132" s="55"/>
      <c r="D132" s="55"/>
      <c r="E132" s="55"/>
      <c r="F132" s="55"/>
      <c r="G132" s="55"/>
      <c r="H132" s="55"/>
      <c r="I132" s="55"/>
      <c r="J132" s="55"/>
      <c r="K132" s="55"/>
      <c r="L132" s="55"/>
      <c r="M132" s="55"/>
      <c r="N132" s="55"/>
      <c r="O132" s="55"/>
      <c r="P132" s="55"/>
      <c r="Q132" s="55"/>
      <c r="R132" s="55"/>
      <c r="S132" s="55"/>
      <c r="T132" s="55"/>
      <c r="U132" s="55"/>
      <c r="V132" s="55"/>
      <c r="W132" s="55"/>
    </row>
    <row r="133" spans="1:23">
      <c r="A133" s="55"/>
      <c r="B133" s="55"/>
      <c r="C133" s="55"/>
      <c r="D133" s="55"/>
      <c r="E133" s="55"/>
      <c r="F133" s="55"/>
      <c r="G133" s="55"/>
      <c r="H133" s="55"/>
      <c r="I133" s="55"/>
      <c r="J133" s="55"/>
      <c r="K133" s="55"/>
      <c r="L133" s="55"/>
      <c r="M133" s="55"/>
      <c r="N133" s="55"/>
      <c r="O133" s="55"/>
      <c r="P133" s="55"/>
      <c r="Q133" s="55"/>
      <c r="R133" s="55"/>
      <c r="S133" s="55"/>
      <c r="T133" s="55"/>
      <c r="U133" s="55"/>
      <c r="V133" s="55"/>
      <c r="W133" s="55"/>
    </row>
    <row r="134" spans="1:23">
      <c r="A134" s="55"/>
      <c r="B134" s="55"/>
      <c r="C134" s="55"/>
      <c r="D134" s="55"/>
      <c r="E134" s="55"/>
      <c r="F134" s="55"/>
      <c r="G134" s="55"/>
      <c r="H134" s="55"/>
      <c r="I134" s="55"/>
      <c r="J134" s="55"/>
      <c r="K134" s="55"/>
      <c r="L134" s="55"/>
      <c r="M134" s="55"/>
      <c r="N134" s="55"/>
      <c r="O134" s="55"/>
      <c r="P134" s="55"/>
      <c r="Q134" s="55"/>
      <c r="R134" s="55"/>
      <c r="S134" s="55"/>
      <c r="T134" s="55"/>
      <c r="U134" s="55"/>
      <c r="V134" s="55"/>
      <c r="W134" s="55"/>
    </row>
    <row r="135" spans="1:23">
      <c r="A135" s="55"/>
      <c r="B135" s="55"/>
      <c r="C135" s="55"/>
      <c r="D135" s="55"/>
      <c r="E135" s="55"/>
      <c r="F135" s="55"/>
      <c r="G135" s="55"/>
      <c r="H135" s="55"/>
      <c r="I135" s="55"/>
      <c r="J135" s="55"/>
      <c r="K135" s="55"/>
      <c r="L135" s="55"/>
      <c r="M135" s="55"/>
      <c r="N135" s="55"/>
      <c r="O135" s="55"/>
      <c r="P135" s="55"/>
      <c r="Q135" s="55"/>
      <c r="R135" s="55"/>
      <c r="S135" s="55"/>
      <c r="T135" s="55"/>
      <c r="U135" s="55"/>
      <c r="V135" s="55"/>
      <c r="W135" s="55"/>
    </row>
    <row r="136" spans="1:23">
      <c r="A136" s="55"/>
      <c r="B136" s="55"/>
      <c r="C136" s="55"/>
      <c r="D136" s="55"/>
      <c r="E136" s="55"/>
      <c r="F136" s="55"/>
      <c r="G136" s="55"/>
      <c r="H136" s="55"/>
      <c r="I136" s="55"/>
      <c r="J136" s="55"/>
      <c r="K136" s="55"/>
      <c r="L136" s="55"/>
      <c r="M136" s="55"/>
      <c r="N136" s="55"/>
      <c r="O136" s="55"/>
      <c r="P136" s="55"/>
      <c r="Q136" s="55"/>
      <c r="R136" s="55"/>
      <c r="S136" s="55"/>
      <c r="T136" s="55"/>
      <c r="U136" s="55"/>
      <c r="V136" s="55"/>
      <c r="W136" s="55"/>
    </row>
    <row r="137" spans="1:23">
      <c r="A137" s="55"/>
      <c r="B137" s="55"/>
      <c r="C137" s="55"/>
      <c r="D137" s="55"/>
      <c r="E137" s="55"/>
      <c r="F137" s="55"/>
      <c r="G137" s="55"/>
      <c r="H137" s="55"/>
      <c r="I137" s="55"/>
      <c r="J137" s="55"/>
      <c r="K137" s="55"/>
      <c r="L137" s="55"/>
      <c r="M137" s="55"/>
      <c r="N137" s="55"/>
      <c r="O137" s="55"/>
      <c r="P137" s="55"/>
      <c r="Q137" s="55"/>
      <c r="R137" s="55"/>
      <c r="S137" s="55"/>
      <c r="T137" s="55"/>
      <c r="U137" s="55"/>
      <c r="V137" s="55"/>
      <c r="W137" s="55"/>
    </row>
    <row r="138" spans="1:23">
      <c r="A138" s="55"/>
      <c r="B138" s="55"/>
      <c r="C138" s="55"/>
      <c r="D138" s="55"/>
      <c r="E138" s="55"/>
      <c r="F138" s="55"/>
      <c r="G138" s="55"/>
      <c r="H138" s="55"/>
      <c r="I138" s="55"/>
      <c r="J138" s="55"/>
      <c r="K138" s="55"/>
      <c r="L138" s="55"/>
      <c r="M138" s="55"/>
      <c r="N138" s="55"/>
      <c r="O138" s="55"/>
      <c r="P138" s="55"/>
      <c r="Q138" s="55"/>
      <c r="R138" s="55"/>
      <c r="S138" s="55"/>
      <c r="T138" s="55"/>
      <c r="U138" s="55"/>
      <c r="V138" s="55"/>
      <c r="W138" s="55"/>
    </row>
    <row r="139" spans="1:23">
      <c r="A139" s="55"/>
      <c r="B139" s="55"/>
      <c r="C139" s="55"/>
      <c r="D139" s="55"/>
      <c r="E139" s="55"/>
      <c r="F139" s="55"/>
      <c r="G139" s="55"/>
      <c r="H139" s="55"/>
      <c r="I139" s="55"/>
      <c r="J139" s="55"/>
      <c r="K139" s="55"/>
      <c r="L139" s="55"/>
      <c r="M139" s="55"/>
      <c r="N139" s="55"/>
      <c r="O139" s="55"/>
      <c r="P139" s="55"/>
      <c r="Q139" s="55"/>
      <c r="R139" s="55"/>
      <c r="S139" s="55"/>
      <c r="T139" s="55"/>
      <c r="U139" s="55"/>
      <c r="V139" s="55"/>
      <c r="W139" s="55"/>
    </row>
    <row r="140" spans="1:23">
      <c r="A140" s="55"/>
      <c r="B140" s="55"/>
      <c r="C140" s="55"/>
      <c r="D140" s="55"/>
      <c r="E140" s="55"/>
      <c r="F140" s="55"/>
      <c r="G140" s="55"/>
      <c r="H140" s="55"/>
      <c r="I140" s="55"/>
      <c r="J140" s="55"/>
      <c r="K140" s="55"/>
      <c r="L140" s="55"/>
      <c r="M140" s="55"/>
      <c r="N140" s="55"/>
      <c r="O140" s="55"/>
      <c r="P140" s="55"/>
      <c r="Q140" s="55"/>
      <c r="R140" s="55"/>
      <c r="S140" s="55"/>
      <c r="T140" s="55"/>
      <c r="U140" s="55"/>
      <c r="V140" s="55"/>
      <c r="W140" s="55"/>
    </row>
    <row r="141" spans="1:23">
      <c r="A141" s="55"/>
      <c r="B141" s="55"/>
      <c r="C141" s="55"/>
      <c r="D141" s="55"/>
      <c r="E141" s="55"/>
      <c r="F141" s="55"/>
      <c r="G141" s="55"/>
      <c r="H141" s="55"/>
      <c r="I141" s="55"/>
      <c r="J141" s="55"/>
      <c r="K141" s="55"/>
      <c r="L141" s="55"/>
      <c r="M141" s="55"/>
      <c r="N141" s="55"/>
      <c r="O141" s="55"/>
      <c r="P141" s="55"/>
      <c r="Q141" s="55"/>
      <c r="R141" s="55"/>
      <c r="S141" s="55"/>
      <c r="T141" s="55"/>
      <c r="U141" s="55"/>
      <c r="V141" s="55"/>
      <c r="W141" s="55"/>
    </row>
    <row r="142" spans="1:23">
      <c r="A142" s="55"/>
      <c r="B142" s="55"/>
      <c r="C142" s="55"/>
      <c r="D142" s="55"/>
      <c r="E142" s="55"/>
      <c r="F142" s="55"/>
      <c r="G142" s="55"/>
      <c r="H142" s="55"/>
      <c r="I142" s="55"/>
      <c r="J142" s="55"/>
      <c r="K142" s="55"/>
      <c r="L142" s="55"/>
      <c r="M142" s="55"/>
      <c r="N142" s="55"/>
      <c r="O142" s="55"/>
      <c r="P142" s="55"/>
      <c r="Q142" s="55"/>
      <c r="R142" s="55"/>
      <c r="S142" s="55"/>
      <c r="T142" s="55"/>
      <c r="U142" s="55"/>
      <c r="V142" s="55"/>
      <c r="W142" s="55"/>
    </row>
    <row r="143" spans="1:23">
      <c r="A143" s="55"/>
      <c r="B143" s="55"/>
      <c r="C143" s="55"/>
      <c r="D143" s="55"/>
      <c r="E143" s="55"/>
      <c r="F143" s="55"/>
      <c r="G143" s="55"/>
      <c r="H143" s="55"/>
      <c r="I143" s="55"/>
      <c r="J143" s="55"/>
      <c r="K143" s="55"/>
      <c r="L143" s="55"/>
      <c r="M143" s="55"/>
      <c r="N143" s="55"/>
      <c r="O143" s="55"/>
      <c r="P143" s="55"/>
      <c r="Q143" s="55"/>
      <c r="R143" s="55"/>
      <c r="S143" s="55"/>
      <c r="T143" s="55"/>
      <c r="U143" s="55"/>
      <c r="V143" s="55"/>
      <c r="W143" s="55"/>
    </row>
    <row r="144" spans="1:23">
      <c r="A144" s="55"/>
      <c r="B144" s="55"/>
      <c r="C144" s="55"/>
      <c r="D144" s="55"/>
      <c r="E144" s="55"/>
      <c r="F144" s="55"/>
      <c r="G144" s="55"/>
      <c r="H144" s="55"/>
      <c r="I144" s="55"/>
      <c r="J144" s="55"/>
      <c r="K144" s="55"/>
      <c r="L144" s="55"/>
      <c r="M144" s="55"/>
      <c r="N144" s="55"/>
      <c r="O144" s="55"/>
      <c r="P144" s="55"/>
      <c r="Q144" s="55"/>
      <c r="R144" s="55"/>
      <c r="S144" s="55"/>
      <c r="T144" s="55"/>
      <c r="U144" s="55"/>
      <c r="V144" s="55"/>
      <c r="W144" s="55"/>
    </row>
    <row r="145" spans="1:23">
      <c r="A145" s="55"/>
      <c r="B145" s="55"/>
      <c r="C145" s="55"/>
      <c r="D145" s="55"/>
      <c r="E145" s="55"/>
      <c r="F145" s="55"/>
      <c r="G145" s="55"/>
      <c r="H145" s="55"/>
      <c r="I145" s="55"/>
      <c r="J145" s="55"/>
      <c r="K145" s="55"/>
      <c r="L145" s="55"/>
      <c r="M145" s="55"/>
      <c r="N145" s="55"/>
      <c r="O145" s="55"/>
      <c r="P145" s="55"/>
      <c r="Q145" s="55"/>
      <c r="R145" s="55"/>
      <c r="S145" s="55"/>
      <c r="T145" s="55"/>
      <c r="U145" s="55"/>
      <c r="V145" s="55"/>
      <c r="W145" s="55"/>
    </row>
    <row r="146" spans="1:23">
      <c r="A146" s="55"/>
      <c r="B146" s="55"/>
      <c r="C146" s="55"/>
      <c r="D146" s="55"/>
      <c r="E146" s="55"/>
      <c r="F146" s="55"/>
      <c r="G146" s="55"/>
      <c r="H146" s="55"/>
      <c r="I146" s="55"/>
      <c r="J146" s="55"/>
      <c r="K146" s="55"/>
      <c r="L146" s="55"/>
      <c r="M146" s="55"/>
      <c r="N146" s="55"/>
      <c r="O146" s="55"/>
      <c r="P146" s="55"/>
      <c r="Q146" s="55"/>
      <c r="R146" s="55"/>
      <c r="S146" s="55"/>
      <c r="T146" s="55"/>
      <c r="U146" s="55"/>
      <c r="V146" s="55"/>
      <c r="W146" s="55"/>
    </row>
    <row r="147" spans="1:23">
      <c r="A147" s="55"/>
      <c r="B147" s="55"/>
      <c r="C147" s="55"/>
      <c r="D147" s="55"/>
      <c r="E147" s="55"/>
      <c r="F147" s="55"/>
      <c r="G147" s="55"/>
      <c r="H147" s="55"/>
      <c r="I147" s="55"/>
      <c r="J147" s="55"/>
      <c r="K147" s="55"/>
      <c r="L147" s="55"/>
      <c r="M147" s="55"/>
      <c r="N147" s="55"/>
      <c r="O147" s="55"/>
      <c r="P147" s="55"/>
      <c r="Q147" s="55"/>
      <c r="R147" s="55"/>
      <c r="S147" s="55"/>
      <c r="T147" s="55"/>
      <c r="U147" s="55"/>
      <c r="V147" s="55"/>
      <c r="W147" s="55"/>
    </row>
    <row r="148" spans="1:23">
      <c r="A148" s="55"/>
      <c r="B148" s="55"/>
      <c r="C148" s="55"/>
      <c r="D148" s="55"/>
      <c r="E148" s="55"/>
      <c r="F148" s="55"/>
      <c r="G148" s="55"/>
      <c r="H148" s="55"/>
      <c r="I148" s="55"/>
      <c r="J148" s="55"/>
      <c r="K148" s="55"/>
      <c r="L148" s="55"/>
      <c r="M148" s="55"/>
      <c r="N148" s="55"/>
      <c r="O148" s="55"/>
      <c r="P148" s="55"/>
      <c r="Q148" s="55"/>
      <c r="R148" s="55"/>
      <c r="S148" s="55"/>
      <c r="T148" s="55"/>
      <c r="U148" s="55"/>
      <c r="V148" s="55"/>
      <c r="W148" s="55"/>
    </row>
    <row r="149" spans="1:23">
      <c r="A149" s="55"/>
      <c r="B149" s="55"/>
      <c r="C149" s="55"/>
      <c r="D149" s="55"/>
      <c r="E149" s="55"/>
      <c r="F149" s="55"/>
      <c r="G149" s="55"/>
      <c r="H149" s="55"/>
      <c r="I149" s="55"/>
      <c r="J149" s="55"/>
      <c r="K149" s="55"/>
      <c r="L149" s="55"/>
      <c r="M149" s="55"/>
      <c r="N149" s="55"/>
      <c r="O149" s="55"/>
      <c r="P149" s="55"/>
      <c r="Q149" s="55"/>
      <c r="R149" s="55"/>
      <c r="S149" s="55"/>
      <c r="T149" s="55"/>
      <c r="U149" s="55"/>
      <c r="V149" s="55"/>
      <c r="W149" s="55"/>
    </row>
    <row r="150" spans="1:23">
      <c r="A150" s="55"/>
      <c r="B150" s="55"/>
      <c r="C150" s="55"/>
      <c r="D150" s="55"/>
      <c r="E150" s="55"/>
      <c r="F150" s="55"/>
      <c r="G150" s="55"/>
      <c r="H150" s="55"/>
      <c r="I150" s="55"/>
      <c r="J150" s="55"/>
      <c r="K150" s="55"/>
      <c r="L150" s="55"/>
      <c r="M150" s="55"/>
      <c r="N150" s="55"/>
      <c r="O150" s="55"/>
      <c r="P150" s="55"/>
      <c r="Q150" s="55"/>
      <c r="R150" s="55"/>
      <c r="S150" s="55"/>
      <c r="T150" s="55"/>
      <c r="U150" s="55"/>
      <c r="V150" s="55"/>
      <c r="W150" s="55"/>
    </row>
    <row r="151" spans="1:23">
      <c r="A151" s="55"/>
      <c r="B151" s="55"/>
      <c r="C151" s="55"/>
      <c r="D151" s="55"/>
      <c r="E151" s="55"/>
      <c r="F151" s="55"/>
      <c r="G151" s="55"/>
      <c r="H151" s="55"/>
      <c r="I151" s="55"/>
      <c r="J151" s="55"/>
      <c r="K151" s="55"/>
      <c r="L151" s="55"/>
      <c r="M151" s="55"/>
      <c r="N151" s="55"/>
      <c r="O151" s="55"/>
      <c r="P151" s="55"/>
      <c r="Q151" s="55"/>
      <c r="R151" s="55"/>
      <c r="S151" s="55"/>
      <c r="T151" s="55"/>
      <c r="U151" s="55"/>
      <c r="V151" s="55"/>
      <c r="W151" s="55"/>
    </row>
    <row r="152" spans="1:23" s="223" customFormat="1">
      <c r="A152" s="222"/>
      <c r="B152" s="222"/>
      <c r="C152" s="222" t="s">
        <v>2364</v>
      </c>
      <c r="D152" s="222"/>
      <c r="E152" s="222"/>
      <c r="F152" s="222"/>
      <c r="G152" s="222"/>
      <c r="H152" s="222"/>
      <c r="I152" s="222"/>
      <c r="J152" s="222"/>
      <c r="K152" s="222"/>
      <c r="L152" s="222"/>
      <c r="M152" s="222"/>
      <c r="N152" s="222"/>
      <c r="O152" s="222"/>
      <c r="P152" s="222"/>
      <c r="Q152" s="222"/>
      <c r="R152" s="222"/>
      <c r="S152" s="222"/>
      <c r="T152" s="222"/>
      <c r="U152" s="222"/>
      <c r="V152" s="222"/>
      <c r="W152" s="222"/>
    </row>
    <row r="153" spans="1:23" s="223" customForma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row>
    <row r="154" spans="1:23" s="223" customFormat="1" ht="10.199999999999999" customHeight="1">
      <c r="A154" s="222"/>
      <c r="B154" s="222"/>
      <c r="C154" s="222" t="s">
        <v>2356</v>
      </c>
      <c r="D154" s="269" t="s">
        <v>2395</v>
      </c>
      <c r="E154" s="269"/>
      <c r="F154" s="269"/>
      <c r="G154" s="269"/>
      <c r="H154" s="269"/>
      <c r="I154" s="269"/>
      <c r="J154" s="269"/>
      <c r="K154" s="269"/>
      <c r="L154" s="269"/>
      <c r="M154" s="269"/>
      <c r="N154" s="269"/>
      <c r="O154" s="269"/>
      <c r="P154" s="269"/>
      <c r="Q154" s="269"/>
      <c r="R154" s="269"/>
      <c r="S154" s="269"/>
      <c r="T154" s="269"/>
      <c r="U154" s="269"/>
      <c r="V154" s="230"/>
      <c r="W154" s="222"/>
    </row>
    <row r="155" spans="1:23" s="223" customFormat="1" ht="10.199999999999999" customHeight="1">
      <c r="A155" s="222"/>
      <c r="B155" s="222"/>
      <c r="C155" s="222"/>
      <c r="D155" s="269"/>
      <c r="E155" s="269"/>
      <c r="F155" s="269"/>
      <c r="G155" s="269"/>
      <c r="H155" s="269"/>
      <c r="I155" s="269"/>
      <c r="J155" s="269"/>
      <c r="K155" s="269"/>
      <c r="L155" s="269"/>
      <c r="M155" s="269"/>
      <c r="N155" s="269"/>
      <c r="O155" s="269"/>
      <c r="P155" s="269"/>
      <c r="Q155" s="269"/>
      <c r="R155" s="269"/>
      <c r="S155" s="269"/>
      <c r="T155" s="269"/>
      <c r="U155" s="269"/>
      <c r="V155" s="230"/>
      <c r="W155" s="222"/>
    </row>
    <row r="156" spans="1:23" s="223" customFormat="1" ht="10.199999999999999" customHeight="1">
      <c r="A156" s="222"/>
      <c r="B156" s="222"/>
      <c r="C156" s="222"/>
      <c r="D156" s="269"/>
      <c r="E156" s="269"/>
      <c r="F156" s="269"/>
      <c r="G156" s="269"/>
      <c r="H156" s="269"/>
      <c r="I156" s="269"/>
      <c r="J156" s="269"/>
      <c r="K156" s="269"/>
      <c r="L156" s="269"/>
      <c r="M156" s="269"/>
      <c r="N156" s="269"/>
      <c r="O156" s="269"/>
      <c r="P156" s="269"/>
      <c r="Q156" s="269"/>
      <c r="R156" s="269"/>
      <c r="S156" s="269"/>
      <c r="T156" s="269"/>
      <c r="U156" s="269"/>
      <c r="V156" s="230"/>
      <c r="W156" s="222"/>
    </row>
    <row r="157" spans="1:23" s="223" customFormat="1">
      <c r="A157" s="222"/>
      <c r="B157" s="222"/>
      <c r="C157" s="229"/>
      <c r="D157" s="270" t="s">
        <v>2357</v>
      </c>
      <c r="E157" s="270"/>
      <c r="F157" s="270"/>
      <c r="G157" s="270"/>
      <c r="H157" s="270"/>
      <c r="I157" s="270"/>
      <c r="J157" s="270"/>
      <c r="K157" s="270"/>
      <c r="L157" s="270"/>
      <c r="M157" s="270"/>
      <c r="N157" s="270"/>
      <c r="O157" s="270"/>
      <c r="P157" s="270"/>
      <c r="Q157" s="270"/>
      <c r="R157" s="270"/>
      <c r="S157" s="270"/>
      <c r="T157" s="270"/>
      <c r="U157" s="270"/>
      <c r="V157" s="228"/>
      <c r="W157" s="222"/>
    </row>
    <row r="158" spans="1:23" s="223" customForma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row>
    <row r="159" spans="1:23" s="223" customFormat="1" ht="10.199999999999999" customHeight="1">
      <c r="A159" s="222"/>
      <c r="B159" s="222"/>
      <c r="C159" s="222" t="s">
        <v>2358</v>
      </c>
      <c r="D159" s="269" t="s">
        <v>2359</v>
      </c>
      <c r="E159" s="269"/>
      <c r="F159" s="269"/>
      <c r="G159" s="269"/>
      <c r="H159" s="269"/>
      <c r="I159" s="269"/>
      <c r="J159" s="269"/>
      <c r="K159" s="269"/>
      <c r="L159" s="269"/>
      <c r="M159" s="269"/>
      <c r="N159" s="269"/>
      <c r="O159" s="269"/>
      <c r="P159" s="269"/>
      <c r="Q159" s="269"/>
      <c r="R159" s="269"/>
      <c r="S159" s="269"/>
      <c r="T159" s="269"/>
      <c r="U159" s="269"/>
      <c r="V159" s="230"/>
      <c r="W159" s="222"/>
    </row>
    <row r="160" spans="1:23" s="223" customFormat="1">
      <c r="A160" s="222"/>
      <c r="B160" s="222"/>
      <c r="C160" s="222"/>
      <c r="D160" s="269"/>
      <c r="E160" s="269"/>
      <c r="F160" s="269"/>
      <c r="G160" s="269"/>
      <c r="H160" s="269"/>
      <c r="I160" s="269"/>
      <c r="J160" s="269"/>
      <c r="K160" s="269"/>
      <c r="L160" s="269"/>
      <c r="M160" s="269"/>
      <c r="N160" s="269"/>
      <c r="O160" s="269"/>
      <c r="P160" s="269"/>
      <c r="Q160" s="269"/>
      <c r="R160" s="269"/>
      <c r="S160" s="269"/>
      <c r="T160" s="269"/>
      <c r="U160" s="269"/>
      <c r="V160" s="230"/>
      <c r="W160" s="222"/>
    </row>
    <row r="161" spans="1:23" s="223" customFormat="1">
      <c r="A161" s="222"/>
      <c r="B161" s="222"/>
      <c r="C161" s="229"/>
      <c r="D161" s="270" t="s">
        <v>2360</v>
      </c>
      <c r="E161" s="270"/>
      <c r="F161" s="270"/>
      <c r="G161" s="270"/>
      <c r="H161" s="270"/>
      <c r="I161" s="270"/>
      <c r="J161" s="270"/>
      <c r="K161" s="270"/>
      <c r="L161" s="270"/>
      <c r="M161" s="270"/>
      <c r="N161" s="270"/>
      <c r="O161" s="270"/>
      <c r="P161" s="270"/>
      <c r="Q161" s="270"/>
      <c r="R161" s="270"/>
      <c r="S161" s="270"/>
      <c r="T161" s="270"/>
      <c r="U161" s="270"/>
      <c r="V161" s="228"/>
      <c r="W161" s="222"/>
    </row>
    <row r="162" spans="1:23" s="223" customFormat="1">
      <c r="A162" s="222"/>
      <c r="B162" s="222"/>
      <c r="C162" s="229"/>
      <c r="D162" s="228"/>
      <c r="E162" s="228"/>
      <c r="F162" s="228"/>
      <c r="G162" s="228"/>
      <c r="H162" s="228"/>
      <c r="I162" s="228"/>
      <c r="J162" s="228"/>
      <c r="K162" s="228"/>
      <c r="L162" s="228"/>
      <c r="M162" s="228"/>
      <c r="N162" s="228"/>
      <c r="O162" s="228"/>
      <c r="P162" s="228"/>
      <c r="Q162" s="228"/>
      <c r="R162" s="228"/>
      <c r="S162" s="228"/>
      <c r="T162" s="228"/>
      <c r="U162" s="228"/>
      <c r="V162" s="228"/>
      <c r="W162" s="222"/>
    </row>
    <row r="163" spans="1:23" s="223" customFormat="1" ht="10.199999999999999" customHeight="1">
      <c r="A163" s="222"/>
      <c r="B163" s="222"/>
      <c r="C163" s="222" t="s">
        <v>2365</v>
      </c>
      <c r="D163" s="269" t="s">
        <v>2367</v>
      </c>
      <c r="E163" s="269"/>
      <c r="F163" s="269"/>
      <c r="G163" s="269"/>
      <c r="H163" s="269"/>
      <c r="I163" s="269"/>
      <c r="J163" s="269"/>
      <c r="K163" s="269"/>
      <c r="L163" s="269"/>
      <c r="M163" s="269"/>
      <c r="N163" s="269"/>
      <c r="O163" s="269"/>
      <c r="P163" s="269"/>
      <c r="Q163" s="269"/>
      <c r="R163" s="269"/>
      <c r="S163" s="269"/>
      <c r="T163" s="269"/>
      <c r="U163" s="269"/>
      <c r="V163" s="230"/>
      <c r="W163" s="222"/>
    </row>
    <row r="164" spans="1:23" s="223" customFormat="1">
      <c r="A164" s="222"/>
      <c r="B164" s="222"/>
      <c r="C164" s="222"/>
      <c r="D164" s="269"/>
      <c r="E164" s="269"/>
      <c r="F164" s="269"/>
      <c r="G164" s="269"/>
      <c r="H164" s="269"/>
      <c r="I164" s="269"/>
      <c r="J164" s="269"/>
      <c r="K164" s="269"/>
      <c r="L164" s="269"/>
      <c r="M164" s="269"/>
      <c r="N164" s="269"/>
      <c r="O164" s="269"/>
      <c r="P164" s="269"/>
      <c r="Q164" s="269"/>
      <c r="R164" s="269"/>
      <c r="S164" s="269"/>
      <c r="T164" s="269"/>
      <c r="U164" s="269"/>
      <c r="V164" s="230"/>
      <c r="W164" s="222"/>
    </row>
    <row r="165" spans="1:23" s="223" customFormat="1">
      <c r="A165" s="222"/>
      <c r="B165" s="222"/>
      <c r="C165" s="222"/>
      <c r="D165" s="269"/>
      <c r="E165" s="269"/>
      <c r="F165" s="269"/>
      <c r="G165" s="269"/>
      <c r="H165" s="269"/>
      <c r="I165" s="269"/>
      <c r="J165" s="269"/>
      <c r="K165" s="269"/>
      <c r="L165" s="269"/>
      <c r="M165" s="269"/>
      <c r="N165" s="269"/>
      <c r="O165" s="269"/>
      <c r="P165" s="269"/>
      <c r="Q165" s="269"/>
      <c r="R165" s="269"/>
      <c r="S165" s="269"/>
      <c r="T165" s="269"/>
      <c r="U165" s="269"/>
      <c r="V165" s="230"/>
      <c r="W165" s="222"/>
    </row>
    <row r="166" spans="1:23" s="223" customFormat="1">
      <c r="A166" s="222"/>
      <c r="B166" s="222"/>
      <c r="C166" s="229"/>
      <c r="D166" s="270" t="s">
        <v>2366</v>
      </c>
      <c r="E166" s="270"/>
      <c r="F166" s="270"/>
      <c r="G166" s="270"/>
      <c r="H166" s="270"/>
      <c r="I166" s="270"/>
      <c r="J166" s="270"/>
      <c r="K166" s="270"/>
      <c r="L166" s="270"/>
      <c r="M166" s="270"/>
      <c r="N166" s="270"/>
      <c r="O166" s="270"/>
      <c r="P166" s="270"/>
      <c r="Q166" s="270"/>
      <c r="R166" s="270"/>
      <c r="S166" s="270"/>
      <c r="T166" s="270"/>
      <c r="U166" s="270"/>
      <c r="V166" s="228"/>
      <c r="W166" s="222"/>
    </row>
    <row r="167" spans="1:23" s="223" customFormat="1">
      <c r="A167" s="222"/>
      <c r="B167" s="222"/>
      <c r="C167" s="229"/>
      <c r="D167" s="228"/>
      <c r="E167" s="228"/>
      <c r="F167" s="228"/>
      <c r="G167" s="228"/>
      <c r="H167" s="228"/>
      <c r="I167" s="228"/>
      <c r="J167" s="228"/>
      <c r="K167" s="228"/>
      <c r="L167" s="228"/>
      <c r="M167" s="228"/>
      <c r="N167" s="228"/>
      <c r="O167" s="228"/>
      <c r="P167" s="228"/>
      <c r="Q167" s="228"/>
      <c r="R167" s="228"/>
      <c r="S167" s="228"/>
      <c r="T167" s="228"/>
      <c r="U167" s="228"/>
      <c r="V167" s="228"/>
      <c r="W167" s="222"/>
    </row>
    <row r="168" spans="1:23" s="223" customFormat="1" ht="10.199999999999999" customHeight="1">
      <c r="A168" s="222"/>
      <c r="B168" s="222"/>
      <c r="C168" s="222" t="s">
        <v>2368</v>
      </c>
      <c r="D168" s="269" t="s">
        <v>2369</v>
      </c>
      <c r="E168" s="269"/>
      <c r="F168" s="269"/>
      <c r="G168" s="269"/>
      <c r="H168" s="269"/>
      <c r="I168" s="269"/>
      <c r="J168" s="269"/>
      <c r="K168" s="269"/>
      <c r="L168" s="269"/>
      <c r="M168" s="269"/>
      <c r="N168" s="269"/>
      <c r="O168" s="269"/>
      <c r="P168" s="269"/>
      <c r="Q168" s="269"/>
      <c r="R168" s="269"/>
      <c r="S168" s="269"/>
      <c r="T168" s="269"/>
      <c r="U168" s="269"/>
      <c r="V168" s="230"/>
      <c r="W168" s="222"/>
    </row>
    <row r="169" spans="1:23" s="223" customFormat="1">
      <c r="A169" s="222"/>
      <c r="B169" s="222"/>
      <c r="C169" s="222"/>
      <c r="D169" s="269"/>
      <c r="E169" s="269"/>
      <c r="F169" s="269"/>
      <c r="G169" s="269"/>
      <c r="H169" s="269"/>
      <c r="I169" s="269"/>
      <c r="J169" s="269"/>
      <c r="K169" s="269"/>
      <c r="L169" s="269"/>
      <c r="M169" s="269"/>
      <c r="N169" s="269"/>
      <c r="O169" s="269"/>
      <c r="P169" s="269"/>
      <c r="Q169" s="269"/>
      <c r="R169" s="269"/>
      <c r="S169" s="269"/>
      <c r="T169" s="269"/>
      <c r="U169" s="269"/>
      <c r="V169" s="230"/>
      <c r="W169" s="222"/>
    </row>
    <row r="170" spans="1:23" s="223" customFormat="1">
      <c r="A170" s="222"/>
      <c r="B170" s="222"/>
      <c r="C170" s="229"/>
      <c r="D170" s="270" t="s">
        <v>2370</v>
      </c>
      <c r="E170" s="270"/>
      <c r="F170" s="270"/>
      <c r="G170" s="270"/>
      <c r="H170" s="270"/>
      <c r="I170" s="270"/>
      <c r="J170" s="270"/>
      <c r="K170" s="270"/>
      <c r="L170" s="270"/>
      <c r="M170" s="270"/>
      <c r="N170" s="270"/>
      <c r="O170" s="270"/>
      <c r="P170" s="270"/>
      <c r="Q170" s="270"/>
      <c r="R170" s="270"/>
      <c r="S170" s="270"/>
      <c r="T170" s="270"/>
      <c r="U170" s="270"/>
      <c r="V170" s="228"/>
      <c r="W170" s="222"/>
    </row>
    <row r="171" spans="1:23" s="223" customFormat="1">
      <c r="A171" s="222"/>
      <c r="B171" s="222"/>
      <c r="C171" s="229"/>
      <c r="D171" s="228"/>
      <c r="E171" s="228"/>
      <c r="F171" s="228"/>
      <c r="G171" s="228"/>
      <c r="H171" s="228"/>
      <c r="I171" s="228"/>
      <c r="J171" s="228"/>
      <c r="K171" s="228"/>
      <c r="L171" s="228"/>
      <c r="M171" s="228"/>
      <c r="N171" s="228"/>
      <c r="O171" s="228"/>
      <c r="P171" s="228"/>
      <c r="Q171" s="228"/>
      <c r="R171" s="228"/>
      <c r="S171" s="228"/>
      <c r="T171" s="228"/>
      <c r="U171" s="228"/>
      <c r="V171" s="228"/>
      <c r="W171" s="222"/>
    </row>
    <row r="172" spans="1:23" s="223" customFormat="1" ht="10.199999999999999" customHeight="1">
      <c r="A172" s="222"/>
      <c r="B172" s="222"/>
      <c r="C172" s="222" t="s">
        <v>2394</v>
      </c>
      <c r="D172" s="269" t="s">
        <v>2393</v>
      </c>
      <c r="E172" s="269"/>
      <c r="F172" s="269"/>
      <c r="G172" s="269"/>
      <c r="H172" s="269"/>
      <c r="I172" s="269"/>
      <c r="J172" s="269"/>
      <c r="K172" s="269"/>
      <c r="L172" s="269"/>
      <c r="M172" s="269"/>
      <c r="N172" s="269"/>
      <c r="O172" s="269"/>
      <c r="P172" s="269"/>
      <c r="Q172" s="269"/>
      <c r="R172" s="269"/>
      <c r="S172" s="269"/>
      <c r="T172" s="269"/>
      <c r="U172" s="269"/>
      <c r="V172" s="230"/>
      <c r="W172" s="222"/>
    </row>
    <row r="173" spans="1:23" s="223" customFormat="1" ht="10.199999999999999" customHeight="1">
      <c r="A173" s="222"/>
      <c r="B173" s="222"/>
      <c r="C173" s="222"/>
      <c r="D173" s="269"/>
      <c r="E173" s="269"/>
      <c r="F173" s="269"/>
      <c r="G173" s="269"/>
      <c r="H173" s="269"/>
      <c r="I173" s="269"/>
      <c r="J173" s="269"/>
      <c r="K173" s="269"/>
      <c r="L173" s="269"/>
      <c r="M173" s="269"/>
      <c r="N173" s="269"/>
      <c r="O173" s="269"/>
      <c r="P173" s="269"/>
      <c r="Q173" s="269"/>
      <c r="R173" s="269"/>
      <c r="S173" s="269"/>
      <c r="T173" s="269"/>
      <c r="U173" s="269"/>
      <c r="V173" s="230"/>
      <c r="W173" s="222"/>
    </row>
    <row r="174" spans="1:23" s="223" customFormat="1">
      <c r="A174" s="222"/>
      <c r="B174" s="222"/>
      <c r="C174" s="222"/>
      <c r="D174" s="269"/>
      <c r="E174" s="269"/>
      <c r="F174" s="269"/>
      <c r="G174" s="269"/>
      <c r="H174" s="269"/>
      <c r="I174" s="269"/>
      <c r="J174" s="269"/>
      <c r="K174" s="269"/>
      <c r="L174" s="269"/>
      <c r="M174" s="269"/>
      <c r="N174" s="269"/>
      <c r="O174" s="269"/>
      <c r="P174" s="269"/>
      <c r="Q174" s="269"/>
      <c r="R174" s="269"/>
      <c r="S174" s="269"/>
      <c r="T174" s="269"/>
      <c r="U174" s="269"/>
      <c r="V174" s="230"/>
      <c r="W174" s="222"/>
    </row>
    <row r="175" spans="1:23" s="223" customFormat="1">
      <c r="A175" s="222"/>
      <c r="B175" s="222"/>
      <c r="C175" s="229"/>
      <c r="D175" s="270"/>
      <c r="E175" s="270"/>
      <c r="F175" s="270"/>
      <c r="G175" s="270"/>
      <c r="H175" s="270"/>
      <c r="I175" s="270"/>
      <c r="J175" s="270"/>
      <c r="K175" s="270"/>
      <c r="L175" s="270"/>
      <c r="M175" s="270"/>
      <c r="N175" s="270"/>
      <c r="O175" s="270"/>
      <c r="P175" s="270"/>
      <c r="Q175" s="270"/>
      <c r="R175" s="270"/>
      <c r="S175" s="270"/>
      <c r="T175" s="270"/>
      <c r="U175" s="270"/>
      <c r="V175" s="228"/>
      <c r="W175" s="222"/>
    </row>
    <row r="176" spans="1:23" s="223" customFormat="1">
      <c r="A176" s="222"/>
      <c r="B176" s="222"/>
      <c r="C176" s="222"/>
      <c r="D176" s="228"/>
      <c r="E176" s="228"/>
      <c r="F176" s="228"/>
      <c r="G176" s="228"/>
      <c r="H176" s="228"/>
      <c r="I176" s="228"/>
      <c r="J176" s="228"/>
      <c r="K176" s="228"/>
      <c r="L176" s="228"/>
      <c r="M176" s="228"/>
      <c r="N176" s="228"/>
      <c r="O176" s="228"/>
      <c r="P176" s="228"/>
      <c r="Q176" s="228"/>
      <c r="R176" s="228"/>
      <c r="S176" s="228"/>
      <c r="T176" s="228"/>
      <c r="U176" s="228"/>
      <c r="V176" s="228"/>
      <c r="W176" s="222"/>
    </row>
    <row r="177" spans="1:23" ht="13.2">
      <c r="A177" s="55"/>
      <c r="B177" s="55"/>
      <c r="C177" s="224"/>
      <c r="D177" s="224"/>
      <c r="E177" s="224"/>
      <c r="F177" s="224"/>
      <c r="G177" s="224"/>
      <c r="H177" s="224"/>
      <c r="I177" s="279">
        <v>44309</v>
      </c>
      <c r="J177" s="279"/>
      <c r="K177" s="279"/>
      <c r="L177" s="224" t="s">
        <v>2363</v>
      </c>
      <c r="M177" s="224"/>
      <c r="N177" s="224"/>
      <c r="O177" s="55"/>
      <c r="P177" s="55"/>
      <c r="Q177" s="55"/>
      <c r="R177" s="55"/>
      <c r="S177" s="55"/>
      <c r="T177" s="55"/>
      <c r="U177" s="55"/>
      <c r="V177" s="55"/>
      <c r="W177" s="55"/>
    </row>
    <row r="178" spans="1:23" ht="13.2">
      <c r="A178" s="55"/>
      <c r="B178" s="55"/>
      <c r="C178" s="224"/>
      <c r="D178" s="224"/>
      <c r="E178" s="224"/>
      <c r="F178" s="224"/>
      <c r="G178" s="224"/>
      <c r="H178" s="224"/>
      <c r="I178" s="224"/>
      <c r="J178" s="224"/>
      <c r="K178" s="224"/>
      <c r="L178" s="224"/>
      <c r="M178" s="224"/>
      <c r="N178" s="224"/>
      <c r="O178" s="55"/>
      <c r="P178" s="55"/>
      <c r="Q178" s="55"/>
      <c r="R178" s="55"/>
      <c r="S178" s="224"/>
      <c r="T178" s="55"/>
      <c r="U178" s="55"/>
      <c r="V178" s="55"/>
      <c r="W178" s="55"/>
    </row>
    <row r="179" spans="1:23" ht="13.2">
      <c r="A179" s="55"/>
      <c r="B179" s="55"/>
      <c r="C179" s="224"/>
      <c r="D179" s="224"/>
      <c r="E179" s="224"/>
      <c r="F179" s="224"/>
      <c r="G179" s="224"/>
      <c r="H179" s="224"/>
      <c r="I179" s="224"/>
      <c r="J179" s="235" t="s">
        <v>2405</v>
      </c>
      <c r="K179" s="224"/>
      <c r="L179" s="224"/>
      <c r="M179" s="224"/>
      <c r="N179" s="224"/>
      <c r="O179" s="55"/>
      <c r="P179" s="55"/>
      <c r="Q179" s="55"/>
      <c r="R179" s="55"/>
      <c r="S179" s="55"/>
      <c r="T179" s="55"/>
      <c r="U179" s="55"/>
      <c r="V179" s="55"/>
      <c r="W179" s="55"/>
    </row>
    <row r="180" spans="1:23" ht="13.2">
      <c r="A180" s="55"/>
      <c r="B180" s="55"/>
      <c r="C180" s="271" t="s">
        <v>2386</v>
      </c>
      <c r="D180" s="271"/>
      <c r="E180" s="271"/>
      <c r="F180" s="271"/>
      <c r="G180" s="271"/>
      <c r="H180" s="224"/>
      <c r="I180" s="224" t="s">
        <v>2361</v>
      </c>
      <c r="J180" s="224"/>
      <c r="K180" s="224"/>
      <c r="L180" s="224"/>
      <c r="M180" s="224"/>
      <c r="N180" s="224"/>
      <c r="O180" s="55"/>
      <c r="P180" s="55"/>
      <c r="Q180" s="55"/>
      <c r="R180" s="55"/>
      <c r="S180" s="55"/>
      <c r="T180" s="55"/>
      <c r="U180" s="55"/>
      <c r="V180" s="55"/>
      <c r="W180" s="55"/>
    </row>
    <row r="181" spans="1:23" ht="13.2">
      <c r="A181" s="55"/>
      <c r="B181" s="55"/>
      <c r="C181" s="271"/>
      <c r="D181" s="271"/>
      <c r="E181" s="271"/>
      <c r="F181" s="271"/>
      <c r="G181" s="271"/>
      <c r="H181" s="224"/>
      <c r="I181" s="224" t="s">
        <v>2362</v>
      </c>
      <c r="J181" s="224"/>
      <c r="K181" s="224"/>
      <c r="L181" s="224"/>
      <c r="M181" s="224"/>
      <c r="N181" s="224"/>
      <c r="O181" s="55"/>
      <c r="P181" s="55"/>
      <c r="Q181" s="55"/>
      <c r="R181" s="55"/>
      <c r="S181" s="55"/>
      <c r="T181" s="55"/>
      <c r="U181" s="55"/>
      <c r="V181" s="55"/>
      <c r="W181" s="55"/>
    </row>
    <row r="182" spans="1:23" ht="13.2">
      <c r="A182" s="55"/>
      <c r="B182" s="55"/>
      <c r="C182" s="271"/>
      <c r="D182" s="271"/>
      <c r="E182" s="271"/>
      <c r="F182" s="271"/>
      <c r="G182" s="271"/>
      <c r="H182" s="224"/>
      <c r="I182" s="233" t="s">
        <v>2396</v>
      </c>
      <c r="J182" s="55"/>
      <c r="K182" s="55"/>
      <c r="L182" s="55"/>
      <c r="M182" s="55"/>
      <c r="N182" s="55"/>
      <c r="O182" s="55"/>
      <c r="P182" s="55"/>
      <c r="Q182" s="55"/>
      <c r="R182" s="55"/>
      <c r="S182" s="55"/>
      <c r="T182" s="55"/>
      <c r="U182" s="55"/>
      <c r="V182" s="55"/>
      <c r="W182" s="55"/>
    </row>
    <row r="183" spans="1:23" s="223" customFormat="1" ht="13.2">
      <c r="A183" s="222"/>
      <c r="B183" s="224"/>
      <c r="C183" s="55"/>
      <c r="D183" s="55"/>
      <c r="E183" s="55"/>
      <c r="F183" s="55"/>
      <c r="G183" s="55"/>
      <c r="H183" s="55"/>
      <c r="I183" s="224"/>
      <c r="J183" s="224"/>
      <c r="K183" s="224"/>
      <c r="L183" s="224"/>
      <c r="M183" s="224"/>
      <c r="N183" s="224"/>
      <c r="O183" s="224"/>
      <c r="P183" s="224"/>
      <c r="Q183" s="224"/>
      <c r="R183" s="55"/>
      <c r="S183" s="55"/>
      <c r="T183" s="224"/>
      <c r="U183" s="224"/>
      <c r="V183" s="224"/>
      <c r="W183" s="224"/>
    </row>
    <row r="184" spans="1:23">
      <c r="A184" s="55"/>
      <c r="B184" s="55"/>
      <c r="C184" s="55"/>
      <c r="D184" s="55"/>
      <c r="E184" s="55"/>
      <c r="F184" s="55"/>
      <c r="G184" s="55"/>
      <c r="H184" s="55"/>
      <c r="I184" s="55"/>
      <c r="J184" s="55"/>
      <c r="K184" s="55"/>
      <c r="L184" s="55"/>
      <c r="M184" s="55"/>
      <c r="N184" s="55"/>
      <c r="O184" s="55"/>
      <c r="P184" s="55"/>
      <c r="Q184" s="55"/>
      <c r="R184" s="55"/>
      <c r="S184" s="55"/>
      <c r="T184" s="55"/>
      <c r="U184" s="55"/>
      <c r="V184" s="55"/>
      <c r="W184" s="55"/>
    </row>
    <row r="185" spans="1:23">
      <c r="A185" s="55"/>
      <c r="B185" s="55"/>
      <c r="C185" s="55"/>
      <c r="D185" s="55"/>
      <c r="E185" s="55"/>
      <c r="F185" s="55"/>
      <c r="G185" s="55"/>
      <c r="H185" s="55"/>
      <c r="I185" s="55"/>
      <c r="J185" s="55"/>
      <c r="K185" s="55"/>
      <c r="L185" s="55"/>
      <c r="M185" s="55"/>
      <c r="N185" s="55"/>
      <c r="O185" s="55"/>
      <c r="P185" s="55"/>
      <c r="Q185" s="55"/>
      <c r="R185" s="55"/>
      <c r="S185" s="55"/>
      <c r="T185" s="55"/>
      <c r="U185" s="55"/>
      <c r="V185" s="55"/>
      <c r="W185" s="55"/>
    </row>
    <row r="186" spans="1:23" ht="13.2">
      <c r="A186" s="55"/>
      <c r="B186" s="55"/>
      <c r="C186" s="55"/>
      <c r="D186" s="55"/>
      <c r="E186" s="55"/>
      <c r="F186" s="55"/>
      <c r="G186" s="55"/>
      <c r="H186" s="55"/>
      <c r="I186" s="227" t="s">
        <v>342</v>
      </c>
      <c r="J186" s="224"/>
      <c r="K186" s="224"/>
      <c r="L186" s="224"/>
      <c r="M186" s="224"/>
      <c r="N186" s="224"/>
      <c r="O186" s="55"/>
      <c r="P186" s="55"/>
      <c r="Q186" s="55"/>
      <c r="R186" s="55"/>
      <c r="S186" s="55"/>
      <c r="T186" s="55"/>
      <c r="U186" s="55"/>
      <c r="V186" s="55"/>
      <c r="W186" s="55"/>
    </row>
    <row r="187" spans="1:23" ht="13.2" customHeight="1">
      <c r="A187" s="55"/>
      <c r="B187" s="55"/>
      <c r="C187" s="55"/>
      <c r="D187" s="55"/>
      <c r="E187" s="55"/>
      <c r="F187" s="55"/>
      <c r="G187" s="55"/>
      <c r="H187" s="55"/>
      <c r="I187" s="268" t="s">
        <v>2375</v>
      </c>
      <c r="J187" s="268"/>
      <c r="K187" s="268"/>
      <c r="L187" s="268"/>
      <c r="M187" s="268"/>
      <c r="N187" s="268"/>
      <c r="O187" s="268"/>
      <c r="P187" s="268"/>
      <c r="Q187" s="268"/>
      <c r="R187" s="268"/>
      <c r="S187" s="268"/>
      <c r="T187" s="268"/>
      <c r="U187" s="268"/>
      <c r="V187" s="55"/>
      <c r="W187" s="55"/>
    </row>
    <row r="188" spans="1:23" ht="13.2" customHeight="1">
      <c r="A188" s="55"/>
      <c r="B188" s="55"/>
      <c r="C188" s="55"/>
      <c r="D188" s="55"/>
      <c r="E188" s="55"/>
      <c r="F188" s="55"/>
      <c r="G188" s="55"/>
      <c r="H188" s="55"/>
      <c r="I188" s="268"/>
      <c r="J188" s="268"/>
      <c r="K188" s="268"/>
      <c r="L188" s="268"/>
      <c r="M188" s="268"/>
      <c r="N188" s="268"/>
      <c r="O188" s="268"/>
      <c r="P188" s="268"/>
      <c r="Q188" s="268"/>
      <c r="R188" s="268"/>
      <c r="S188" s="268"/>
      <c r="T188" s="268"/>
      <c r="U188" s="268"/>
      <c r="V188" s="55"/>
      <c r="W188" s="55"/>
    </row>
    <row r="189" spans="1:23" ht="13.2" customHeight="1">
      <c r="A189" s="55"/>
      <c r="B189" s="55"/>
      <c r="C189" s="55"/>
      <c r="D189" s="55"/>
      <c r="E189" s="55"/>
      <c r="F189" s="55"/>
      <c r="G189" s="55"/>
      <c r="H189" s="55"/>
      <c r="I189" s="268"/>
      <c r="J189" s="268"/>
      <c r="K189" s="268"/>
      <c r="L189" s="268"/>
      <c r="M189" s="268"/>
      <c r="N189" s="268"/>
      <c r="O189" s="268"/>
      <c r="P189" s="268"/>
      <c r="Q189" s="268"/>
      <c r="R189" s="268"/>
      <c r="S189" s="268"/>
      <c r="T189" s="268"/>
      <c r="U189" s="268"/>
      <c r="V189" s="55"/>
      <c r="W189" s="55"/>
    </row>
    <row r="190" spans="1:23" ht="13.2">
      <c r="A190" s="55"/>
      <c r="B190" s="55"/>
      <c r="C190" s="55"/>
      <c r="D190" s="55"/>
      <c r="E190" s="55"/>
      <c r="F190" s="55"/>
      <c r="G190" s="55"/>
      <c r="H190" s="55"/>
      <c r="I190" s="233" t="s">
        <v>2397</v>
      </c>
      <c r="J190" s="224"/>
      <c r="K190" s="224"/>
      <c r="L190" s="224"/>
      <c r="M190" s="224"/>
      <c r="N190" s="224"/>
      <c r="O190" s="55"/>
      <c r="P190" s="55"/>
      <c r="Q190" s="55"/>
      <c r="R190" s="55"/>
      <c r="S190" s="55"/>
      <c r="T190" s="55"/>
      <c r="U190" s="55"/>
      <c r="V190" s="55"/>
      <c r="W190" s="55"/>
    </row>
    <row r="191" spans="1:23" ht="13.2">
      <c r="A191" s="55"/>
      <c r="B191" s="55"/>
      <c r="C191" s="55"/>
      <c r="D191" s="55"/>
      <c r="E191" s="55"/>
      <c r="F191" s="55"/>
      <c r="G191" s="55"/>
      <c r="H191" s="55"/>
      <c r="I191" s="224" t="s">
        <v>2373</v>
      </c>
      <c r="J191" s="224"/>
      <c r="K191" s="224"/>
      <c r="L191" s="224"/>
      <c r="M191" s="224"/>
      <c r="N191" s="224"/>
      <c r="O191" s="55"/>
      <c r="P191" s="55"/>
      <c r="Q191" s="55"/>
      <c r="R191" s="55"/>
      <c r="S191" s="55"/>
      <c r="T191" s="55"/>
      <c r="U191" s="55"/>
      <c r="V191" s="55"/>
      <c r="W191" s="55"/>
    </row>
    <row r="192" spans="1:23" ht="13.2">
      <c r="A192" s="55"/>
      <c r="B192" s="55"/>
      <c r="C192" s="55"/>
      <c r="D192" s="55"/>
      <c r="E192" s="55"/>
      <c r="F192" s="55"/>
      <c r="G192" s="55"/>
      <c r="H192" s="55"/>
      <c r="I192" s="224" t="s">
        <v>2372</v>
      </c>
      <c r="J192" s="224"/>
      <c r="K192" s="224"/>
      <c r="L192" s="224"/>
      <c r="M192" s="224"/>
      <c r="N192" s="224"/>
      <c r="O192" s="55"/>
      <c r="P192" s="55"/>
      <c r="Q192" s="55"/>
      <c r="R192" s="55"/>
      <c r="S192" s="55"/>
      <c r="T192" s="55"/>
      <c r="U192" s="55"/>
      <c r="V192" s="55"/>
      <c r="W192" s="55"/>
    </row>
    <row r="193" spans="1:23" ht="13.2">
      <c r="A193" s="55"/>
      <c r="B193" s="55"/>
      <c r="C193" s="55"/>
      <c r="D193" s="55"/>
      <c r="E193" s="55"/>
      <c r="F193" s="55"/>
      <c r="G193" s="55"/>
      <c r="H193" s="55"/>
      <c r="I193" s="224" t="s">
        <v>2374</v>
      </c>
      <c r="J193" s="224"/>
      <c r="K193" s="224"/>
      <c r="L193" s="224"/>
      <c r="M193" s="224"/>
      <c r="N193" s="224"/>
      <c r="O193" s="55"/>
      <c r="P193" s="55"/>
      <c r="Q193" s="55"/>
      <c r="R193" s="55"/>
      <c r="S193" s="55"/>
      <c r="T193" s="55"/>
      <c r="U193" s="55"/>
      <c r="V193" s="55"/>
      <c r="W193" s="55"/>
    </row>
    <row r="194" spans="1:23" ht="13.2">
      <c r="A194" s="55"/>
      <c r="B194" s="55"/>
      <c r="C194" s="55"/>
      <c r="D194" s="55"/>
      <c r="E194" s="55"/>
      <c r="F194" s="55"/>
      <c r="G194" s="55"/>
      <c r="H194" s="55"/>
      <c r="I194" s="224"/>
      <c r="J194" s="224"/>
      <c r="K194" s="224"/>
      <c r="L194" s="224"/>
      <c r="M194" s="224"/>
      <c r="N194" s="224"/>
      <c r="O194" s="55"/>
      <c r="P194" s="55"/>
      <c r="Q194" s="55"/>
      <c r="R194" s="55"/>
      <c r="S194" s="55"/>
      <c r="T194" s="55"/>
      <c r="U194" s="55"/>
      <c r="V194" s="55"/>
      <c r="W194" s="55"/>
    </row>
    <row r="195" spans="1:23" ht="13.2">
      <c r="A195" s="55"/>
      <c r="B195" s="55"/>
      <c r="C195" s="55"/>
      <c r="D195" s="55"/>
      <c r="E195" s="55"/>
      <c r="F195" s="55"/>
      <c r="G195" s="55"/>
      <c r="H195" s="55"/>
      <c r="I195" s="224"/>
      <c r="J195" s="224"/>
      <c r="K195" s="224"/>
      <c r="L195" s="224"/>
      <c r="M195" s="224"/>
      <c r="N195" s="224"/>
      <c r="O195" s="55"/>
      <c r="P195" s="55"/>
      <c r="Q195" s="55"/>
      <c r="R195" s="55"/>
      <c r="S195" s="55"/>
      <c r="T195" s="55"/>
      <c r="U195" s="55"/>
      <c r="V195" s="55"/>
      <c r="W195" s="55"/>
    </row>
    <row r="196" spans="1:23">
      <c r="A196" s="55"/>
      <c r="B196" s="55"/>
      <c r="C196" s="55"/>
      <c r="D196" s="55"/>
      <c r="E196" s="55"/>
      <c r="F196" s="55"/>
      <c r="G196" s="55"/>
      <c r="H196" s="55"/>
      <c r="I196" s="55"/>
      <c r="J196" s="55"/>
      <c r="K196" s="55"/>
      <c r="L196" s="55"/>
      <c r="M196" s="55"/>
      <c r="N196" s="55"/>
      <c r="O196" s="55"/>
      <c r="P196" s="55"/>
      <c r="Q196" s="55"/>
      <c r="R196" s="55"/>
      <c r="S196" s="55"/>
      <c r="T196" s="55"/>
      <c r="U196" s="55"/>
      <c r="V196" s="55"/>
      <c r="W196" s="55"/>
    </row>
    <row r="197" spans="1:23">
      <c r="A197" s="55"/>
      <c r="B197" s="55"/>
      <c r="C197" s="55"/>
      <c r="D197" s="55"/>
      <c r="E197" s="55"/>
      <c r="F197" s="55"/>
      <c r="G197" s="55"/>
      <c r="H197" s="55"/>
      <c r="I197" s="55"/>
      <c r="J197" s="55"/>
      <c r="K197" s="55"/>
      <c r="L197" s="55"/>
      <c r="M197" s="55"/>
      <c r="N197" s="55"/>
      <c r="O197" s="55"/>
      <c r="P197" s="55"/>
      <c r="Q197" s="55"/>
      <c r="R197" s="55"/>
      <c r="S197" s="55"/>
      <c r="T197" s="55"/>
      <c r="U197" s="55"/>
      <c r="V197" s="55"/>
      <c r="W197" s="55"/>
    </row>
    <row r="198" spans="1:23">
      <c r="A198" s="55"/>
      <c r="B198" s="41" t="s">
        <v>310</v>
      </c>
      <c r="C198" s="41"/>
      <c r="D198" s="41"/>
      <c r="E198" s="41"/>
      <c r="F198" s="41"/>
      <c r="G198" s="41"/>
      <c r="H198" s="41"/>
      <c r="I198" s="41"/>
      <c r="J198" s="41"/>
      <c r="K198" s="41"/>
      <c r="L198" s="41"/>
      <c r="M198" s="41"/>
      <c r="N198" s="41"/>
      <c r="O198" s="41"/>
      <c r="P198" s="41"/>
      <c r="Q198" s="41"/>
      <c r="R198" s="41"/>
      <c r="S198" s="41"/>
      <c r="T198" s="41"/>
      <c r="U198" s="41"/>
      <c r="V198" s="41"/>
      <c r="W198" s="55"/>
    </row>
    <row r="199" spans="1:23">
      <c r="A199" s="55"/>
      <c r="B199" s="55"/>
      <c r="C199" s="55"/>
      <c r="D199" s="55"/>
      <c r="E199" s="55"/>
      <c r="F199" s="55"/>
      <c r="G199" s="55"/>
      <c r="H199" s="55"/>
      <c r="I199" s="55"/>
      <c r="J199" s="55"/>
      <c r="K199" s="55"/>
      <c r="L199" s="55"/>
      <c r="M199" s="55"/>
      <c r="N199" s="55"/>
      <c r="O199" s="55"/>
      <c r="P199" s="55"/>
      <c r="Q199" s="55"/>
      <c r="R199" s="55"/>
      <c r="S199" s="55"/>
      <c r="T199" s="55"/>
      <c r="U199" s="55"/>
      <c r="V199" s="55"/>
      <c r="W199" s="55"/>
    </row>
    <row r="200" spans="1:23">
      <c r="A200" s="55"/>
      <c r="B200" s="55"/>
      <c r="C200" s="55"/>
      <c r="D200" s="55"/>
      <c r="E200" s="55"/>
      <c r="F200" s="55"/>
      <c r="G200" s="55"/>
      <c r="H200" s="55"/>
      <c r="I200" s="55"/>
      <c r="J200" s="55"/>
      <c r="K200" s="55"/>
      <c r="L200" s="55"/>
      <c r="M200" s="55"/>
      <c r="N200" s="55"/>
      <c r="O200" s="55"/>
      <c r="P200" s="55"/>
      <c r="Q200" s="55"/>
      <c r="R200" s="55"/>
      <c r="S200" s="55"/>
      <c r="T200" s="55"/>
      <c r="U200" s="55"/>
      <c r="V200" s="55"/>
      <c r="W200" s="55"/>
    </row>
    <row r="201" spans="1:23">
      <c r="A201" s="55"/>
      <c r="B201" s="55"/>
      <c r="C201" s="55"/>
      <c r="D201" s="55"/>
      <c r="E201" s="55"/>
      <c r="F201" s="56" t="s">
        <v>196</v>
      </c>
      <c r="G201" s="273">
        <f ca="1">NOW()</f>
        <v>44330.603352893515</v>
      </c>
      <c r="H201" s="273"/>
      <c r="I201" s="55"/>
      <c r="J201" s="55"/>
      <c r="K201" s="55"/>
      <c r="L201" s="55"/>
      <c r="M201" s="55"/>
      <c r="N201" s="55"/>
      <c r="O201" s="55"/>
      <c r="P201" s="55"/>
      <c r="Q201" s="55"/>
      <c r="R201" s="55"/>
      <c r="S201" s="55"/>
      <c r="T201" s="55"/>
      <c r="U201" s="55"/>
      <c r="V201" s="55"/>
      <c r="W201" s="55"/>
    </row>
    <row r="202" spans="1:23">
      <c r="A202" s="55"/>
      <c r="B202" s="55"/>
      <c r="C202" s="55"/>
      <c r="D202" s="55"/>
      <c r="E202" s="55"/>
      <c r="F202" s="56" t="s">
        <v>1029</v>
      </c>
      <c r="G202" s="276">
        <v>44330</v>
      </c>
      <c r="H202" s="277"/>
      <c r="I202" s="55"/>
      <c r="J202" s="55"/>
      <c r="K202" s="55"/>
      <c r="L202" s="55"/>
      <c r="M202" s="55"/>
      <c r="N202" s="55"/>
      <c r="O202" s="55"/>
      <c r="P202" s="55"/>
      <c r="Q202" s="55"/>
      <c r="R202" s="55"/>
      <c r="S202" s="55"/>
      <c r="T202" s="55"/>
      <c r="U202" s="55"/>
      <c r="V202" s="55"/>
      <c r="W202" s="55"/>
    </row>
    <row r="203" spans="1:23">
      <c r="A203" s="55"/>
      <c r="B203" s="55"/>
      <c r="C203" s="55"/>
      <c r="D203" s="55"/>
      <c r="E203" s="55"/>
      <c r="F203" s="55"/>
      <c r="G203" s="55"/>
      <c r="H203" s="55"/>
      <c r="I203" s="55"/>
      <c r="J203" s="55"/>
      <c r="K203" s="55"/>
      <c r="L203" s="55"/>
      <c r="M203" s="55"/>
      <c r="N203" s="55"/>
      <c r="O203" s="55"/>
      <c r="P203" s="55"/>
      <c r="Q203" s="55"/>
      <c r="R203" s="55"/>
      <c r="S203" s="55"/>
      <c r="T203" s="55"/>
      <c r="U203" s="55"/>
      <c r="V203" s="55"/>
      <c r="W203" s="55"/>
    </row>
    <row r="204" spans="1:23">
      <c r="A204" s="55"/>
      <c r="B204" s="55"/>
      <c r="C204" s="55"/>
      <c r="D204" s="55"/>
      <c r="E204" s="55"/>
      <c r="F204" s="56" t="s">
        <v>702</v>
      </c>
      <c r="G204" s="274">
        <v>100</v>
      </c>
      <c r="H204" s="275"/>
      <c r="I204" s="55"/>
      <c r="J204" s="55"/>
      <c r="K204" s="55"/>
      <c r="L204" s="55"/>
      <c r="M204" s="55"/>
      <c r="N204" s="55"/>
      <c r="O204" s="55"/>
      <c r="P204" s="55"/>
      <c r="Q204" s="55"/>
      <c r="R204" s="55"/>
      <c r="S204" s="55"/>
      <c r="T204" s="55"/>
      <c r="U204" s="55"/>
      <c r="V204" s="55"/>
      <c r="W204" s="55"/>
    </row>
    <row r="205" spans="1:23">
      <c r="A205" s="55"/>
      <c r="B205" s="55"/>
      <c r="C205" s="55"/>
      <c r="D205" s="55"/>
      <c r="E205" s="55"/>
      <c r="F205" s="56" t="s">
        <v>703</v>
      </c>
      <c r="G205" s="274">
        <v>100000</v>
      </c>
      <c r="H205" s="275"/>
      <c r="I205" s="55"/>
      <c r="J205" s="55"/>
      <c r="K205" s="55"/>
      <c r="L205" s="55"/>
      <c r="M205" s="55"/>
      <c r="N205" s="55"/>
      <c r="O205" s="55"/>
      <c r="P205" s="55"/>
      <c r="Q205" s="55"/>
      <c r="R205" s="55"/>
      <c r="S205" s="55"/>
      <c r="T205" s="55"/>
      <c r="U205" s="55"/>
      <c r="V205" s="55"/>
      <c r="W205" s="55"/>
    </row>
    <row r="206" spans="1:23">
      <c r="A206" s="55"/>
      <c r="B206" s="55"/>
      <c r="C206" s="55"/>
      <c r="D206" s="55"/>
      <c r="E206" s="55"/>
      <c r="F206" s="55"/>
      <c r="G206" s="55"/>
      <c r="H206" s="55"/>
      <c r="I206" s="55"/>
      <c r="J206" s="55"/>
      <c r="K206" s="55"/>
      <c r="L206" s="55"/>
      <c r="M206" s="55"/>
      <c r="N206" s="55"/>
      <c r="O206" s="55"/>
      <c r="P206" s="55"/>
      <c r="Q206" s="55"/>
      <c r="R206" s="55"/>
      <c r="S206" s="55"/>
      <c r="T206" s="55"/>
      <c r="U206" s="55"/>
      <c r="V206" s="55"/>
      <c r="W206" s="55"/>
    </row>
    <row r="207" spans="1:23">
      <c r="A207" s="55"/>
      <c r="B207" s="55"/>
      <c r="C207" s="55"/>
      <c r="D207" s="55"/>
      <c r="E207" s="55"/>
      <c r="F207" s="55"/>
      <c r="G207" s="55"/>
      <c r="H207" s="55"/>
      <c r="I207" s="55"/>
      <c r="J207" s="55"/>
      <c r="K207" s="55"/>
      <c r="L207" s="55"/>
      <c r="M207" s="55"/>
      <c r="N207" s="55"/>
      <c r="O207" s="55"/>
      <c r="P207" s="55"/>
      <c r="Q207" s="55"/>
      <c r="R207" s="55"/>
      <c r="S207" s="55"/>
      <c r="T207" s="55"/>
      <c r="U207" s="55"/>
      <c r="V207" s="55"/>
      <c r="W207" s="55"/>
    </row>
    <row r="208" spans="1:23">
      <c r="A208" s="55"/>
      <c r="B208" s="55"/>
      <c r="C208" s="55"/>
      <c r="D208" s="55"/>
      <c r="E208" s="55"/>
      <c r="F208" s="55"/>
      <c r="G208" s="55"/>
      <c r="H208" s="55"/>
      <c r="I208" s="55"/>
      <c r="J208" s="55"/>
      <c r="K208" s="55"/>
      <c r="L208" s="55"/>
      <c r="M208" s="55"/>
      <c r="N208" s="55"/>
      <c r="O208" s="55"/>
      <c r="P208" s="55"/>
      <c r="Q208" s="55"/>
      <c r="R208" s="55"/>
      <c r="S208" s="55"/>
      <c r="T208" s="55"/>
      <c r="U208" s="55"/>
      <c r="V208" s="55"/>
      <c r="W208" s="55"/>
    </row>
    <row r="209" spans="1:23">
      <c r="A209" s="55"/>
      <c r="B209" s="55"/>
      <c r="C209" s="55"/>
      <c r="D209" s="55"/>
      <c r="E209" s="55"/>
      <c r="F209" s="55"/>
      <c r="G209" s="55"/>
      <c r="H209" s="55"/>
      <c r="I209" s="55"/>
      <c r="J209" s="55"/>
      <c r="K209" s="55"/>
      <c r="L209" s="55"/>
      <c r="M209" s="55"/>
      <c r="N209" s="55"/>
      <c r="O209" s="55"/>
      <c r="P209" s="55"/>
      <c r="Q209" s="55"/>
      <c r="R209" s="55"/>
      <c r="S209" s="55"/>
      <c r="T209" s="55"/>
      <c r="U209" s="55"/>
      <c r="V209" s="55"/>
      <c r="W209" s="55"/>
    </row>
    <row r="210" spans="1:23">
      <c r="A210" s="55"/>
      <c r="B210" s="55"/>
      <c r="C210" s="55"/>
      <c r="D210" s="55"/>
      <c r="E210" s="55"/>
      <c r="F210" s="55"/>
      <c r="G210" s="55"/>
      <c r="H210" s="55"/>
      <c r="I210" s="55"/>
      <c r="J210" s="55"/>
      <c r="K210" s="55"/>
      <c r="L210" s="55"/>
      <c r="M210" s="55"/>
      <c r="N210" s="55"/>
      <c r="O210" s="55"/>
      <c r="P210" s="55"/>
      <c r="Q210" s="55"/>
      <c r="R210" s="55"/>
      <c r="S210" s="55"/>
      <c r="T210" s="55"/>
      <c r="U210" s="55"/>
      <c r="V210" s="55"/>
      <c r="W210" s="55"/>
    </row>
    <row r="211" spans="1:23">
      <c r="A211" s="55"/>
      <c r="B211" s="55"/>
      <c r="C211" s="55"/>
      <c r="D211" s="55"/>
      <c r="E211" s="55"/>
      <c r="F211" s="55"/>
      <c r="G211" s="55"/>
      <c r="H211" s="55"/>
      <c r="I211" s="55"/>
      <c r="J211" s="55"/>
      <c r="K211" s="55"/>
      <c r="L211" s="55"/>
      <c r="M211" s="55"/>
      <c r="N211" s="55"/>
      <c r="O211" s="55"/>
      <c r="P211" s="55"/>
      <c r="Q211" s="55"/>
      <c r="R211" s="55"/>
      <c r="S211" s="55"/>
      <c r="T211" s="55"/>
      <c r="U211" s="55"/>
      <c r="V211" s="55"/>
      <c r="W211" s="55"/>
    </row>
  </sheetData>
  <mergeCells count="29">
    <mergeCell ref="I29:U32"/>
    <mergeCell ref="U2:V2"/>
    <mergeCell ref="G201:H201"/>
    <mergeCell ref="G204:H204"/>
    <mergeCell ref="G205:H205"/>
    <mergeCell ref="G202:H202"/>
    <mergeCell ref="C5:S6"/>
    <mergeCell ref="I177:K177"/>
    <mergeCell ref="D154:U156"/>
    <mergeCell ref="D157:U157"/>
    <mergeCell ref="D159:U160"/>
    <mergeCell ref="D161:U161"/>
    <mergeCell ref="D163:U165"/>
    <mergeCell ref="D166:U166"/>
    <mergeCell ref="I24:U28"/>
    <mergeCell ref="I20:U23"/>
    <mergeCell ref="I33:U35"/>
    <mergeCell ref="I36:U38"/>
    <mergeCell ref="I64:U68"/>
    <mergeCell ref="I39:U42"/>
    <mergeCell ref="I43:U48"/>
    <mergeCell ref="I49:U57"/>
    <mergeCell ref="I58:U63"/>
    <mergeCell ref="I187:U189"/>
    <mergeCell ref="D172:U174"/>
    <mergeCell ref="D175:U175"/>
    <mergeCell ref="C180:G182"/>
    <mergeCell ref="D168:U169"/>
    <mergeCell ref="D170:U170"/>
  </mergeCells>
  <hyperlinks>
    <hyperlink ref="D157" r:id="rId1" xr:uid="{95DAC1FA-5310-4520-9B83-2C7A376A0FB1}"/>
    <hyperlink ref="D161" r:id="rId2" xr:uid="{33F11D74-AF71-4C84-8C1E-61F429269062}"/>
    <hyperlink ref="D166" r:id="rId3" xr:uid="{8D81C4D2-202F-43F8-A212-59AD847D9806}"/>
    <hyperlink ref="D170" r:id="rId4" xr:uid="{5C32B902-6B8A-4C27-AB70-EAF628C9BD66}"/>
    <hyperlink ref="C180" r:id="rId5" xr:uid="{CEF9FBCF-B67F-4973-BE38-8BF78B69A0DB}"/>
    <hyperlink ref="I182" r:id="rId6" xr:uid="{49DFC6A5-5A24-4490-B47B-147D95C331E7}"/>
    <hyperlink ref="I190" r:id="rId7" xr:uid="{EA2B74C9-6E32-4381-BBBF-4EB52DD22E92}"/>
  </hyperlinks>
  <pageMargins left="0.7" right="0.7" top="0.78740157499999996" bottom="0.78740157499999996" header="0.3" footer="0.3"/>
  <pageSetup paperSize="9"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DF276"/>
  <sheetViews>
    <sheetView showGridLines="0" zoomScale="80" zoomScaleNormal="80" workbookViewId="0">
      <pane xSplit="3" ySplit="12" topLeftCell="G96" activePane="bottomRight" state="frozen"/>
      <selection pane="topRight" activeCell="D1" sqref="D1"/>
      <selection pane="bottomLeft" activeCell="A13" sqref="A13"/>
      <selection pane="bottomRight" activeCell="AF96" sqref="AF96"/>
    </sheetView>
  </sheetViews>
  <sheetFormatPr baseColWidth="10" defaultColWidth="11.42578125" defaultRowHeight="10.199999999999999" outlineLevelRow="1" outlineLevelCol="1"/>
  <cols>
    <col min="1" max="2" width="21" customWidth="1"/>
    <col min="3" max="3" width="50.28515625" customWidth="1"/>
    <col min="4" max="4" width="28.42578125" customWidth="1"/>
    <col min="5" max="6" width="17.28515625" customWidth="1"/>
    <col min="7" max="7" width="7.28515625" customWidth="1"/>
    <col min="8" max="8" width="9.7109375" customWidth="1"/>
    <col min="9" max="10" width="10.5703125" customWidth="1"/>
    <col min="11" max="11" width="13.28515625" customWidth="1"/>
    <col min="12" max="12" width="24.28515625" customWidth="1"/>
    <col min="13" max="13" width="12.7109375" customWidth="1"/>
    <col min="14" max="17" width="8.28515625" customWidth="1"/>
    <col min="18" max="18" width="12.42578125" customWidth="1"/>
    <col min="19" max="25" width="8.28515625" customWidth="1"/>
    <col min="26" max="26" width="14.28515625" customWidth="1" collapsed="1"/>
    <col min="27" max="28" width="7.140625" hidden="1" customWidth="1" outlineLevel="1"/>
    <col min="29" max="31" width="14.28515625" hidden="1" customWidth="1" outlineLevel="1"/>
    <col min="32" max="35" width="14.28515625" customWidth="1"/>
    <col min="36" max="36" width="14.28515625" customWidth="1" collapsed="1"/>
    <col min="37" max="38" width="7.140625" hidden="1" customWidth="1" outlineLevel="1"/>
    <col min="39" max="39" width="14.28515625" hidden="1" customWidth="1" outlineLevel="1"/>
    <col min="40" max="40" width="14.28515625" customWidth="1" collapsed="1"/>
    <col min="41" max="41" width="14.28515625" hidden="1" customWidth="1" outlineLevel="1"/>
    <col min="42" max="42" width="14.28515625" customWidth="1" collapsed="1"/>
    <col min="43" max="43" width="14.28515625" hidden="1" customWidth="1" outlineLevel="1"/>
    <col min="44" max="44" width="7.140625" hidden="1" customWidth="1" outlineLevel="1"/>
    <col min="45" max="46" width="14.28515625" hidden="1" customWidth="1" outlineLevel="1"/>
    <col min="47" max="47" width="7.140625" hidden="1" customWidth="1" outlineLevel="1"/>
    <col min="48" max="48" width="14.28515625" hidden="1" customWidth="1" outlineLevel="1"/>
    <col min="49" max="49" width="14.28515625" customWidth="1"/>
    <col min="50" max="54" width="8.42578125" customWidth="1"/>
    <col min="56" max="56" width="26" customWidth="1"/>
    <col min="59" max="59" width="36.140625" customWidth="1"/>
    <col min="64" max="64" width="37.85546875" customWidth="1"/>
    <col min="69" max="69" width="37.85546875" customWidth="1"/>
    <col min="72" max="72" width="68.42578125" customWidth="1"/>
    <col min="79" max="79" width="14.28515625" customWidth="1"/>
    <col min="84" max="88" width="14.28515625" customWidth="1"/>
    <col min="89" max="89" width="21.42578125" customWidth="1"/>
    <col min="90" max="99" width="14.28515625" customWidth="1"/>
    <col min="105" max="105" width="22.5703125" customWidth="1"/>
  </cols>
  <sheetData>
    <row r="1" spans="1:110" s="5" customFormat="1" ht="45" customHeight="1">
      <c r="A1" s="157" t="s">
        <v>546</v>
      </c>
      <c r="B1" s="157" t="s">
        <v>2339</v>
      </c>
      <c r="C1" s="157" t="s">
        <v>701</v>
      </c>
      <c r="D1" s="157" t="s">
        <v>1011</v>
      </c>
      <c r="E1" s="157" t="s">
        <v>2044</v>
      </c>
      <c r="F1" s="157" t="s">
        <v>2045</v>
      </c>
      <c r="G1" s="157" t="s">
        <v>2046</v>
      </c>
      <c r="H1" s="157" t="s">
        <v>2047</v>
      </c>
      <c r="I1" s="157" t="s">
        <v>2143</v>
      </c>
      <c r="J1" s="157" t="s">
        <v>150</v>
      </c>
      <c r="K1" s="157" t="s">
        <v>165</v>
      </c>
      <c r="L1" s="157" t="s">
        <v>2073</v>
      </c>
      <c r="M1" s="157" t="s">
        <v>2079</v>
      </c>
      <c r="N1" s="31" t="s">
        <v>40</v>
      </c>
      <c r="O1" s="31" t="s">
        <v>60</v>
      </c>
      <c r="P1" s="31" t="s">
        <v>61</v>
      </c>
      <c r="Q1" s="31" t="s">
        <v>421</v>
      </c>
      <c r="R1" s="31" t="s">
        <v>56</v>
      </c>
      <c r="S1" s="157" t="s">
        <v>130</v>
      </c>
      <c r="T1" s="157" t="s">
        <v>131</v>
      </c>
      <c r="U1" s="31" t="s">
        <v>62</v>
      </c>
      <c r="V1" s="31" t="s">
        <v>183</v>
      </c>
      <c r="W1" s="31" t="s">
        <v>2094</v>
      </c>
      <c r="X1" s="157" t="s">
        <v>2101</v>
      </c>
      <c r="Y1" s="157" t="s">
        <v>422</v>
      </c>
      <c r="Z1" s="157" t="s">
        <v>39</v>
      </c>
      <c r="AA1" s="157" t="s">
        <v>163</v>
      </c>
      <c r="AB1" s="157" t="s">
        <v>147</v>
      </c>
      <c r="AC1" s="157" t="s">
        <v>215</v>
      </c>
      <c r="AD1" s="157" t="s">
        <v>135</v>
      </c>
      <c r="AE1" s="157" t="s">
        <v>136</v>
      </c>
      <c r="AF1" s="157" t="s">
        <v>63</v>
      </c>
      <c r="AG1" s="157" t="s">
        <v>195</v>
      </c>
      <c r="AH1" s="157" t="s">
        <v>166</v>
      </c>
      <c r="AI1" s="157" t="s">
        <v>168</v>
      </c>
      <c r="AJ1" s="157" t="s">
        <v>171</v>
      </c>
      <c r="AK1" s="157" t="s">
        <v>2230</v>
      </c>
      <c r="AL1" s="157" t="s">
        <v>147</v>
      </c>
      <c r="AM1" s="157" t="s">
        <v>148</v>
      </c>
      <c r="AN1" s="157" t="s">
        <v>214</v>
      </c>
      <c r="AO1" s="157" t="s">
        <v>149</v>
      </c>
      <c r="AP1" s="157" t="s">
        <v>69</v>
      </c>
      <c r="AQ1" s="31" t="s">
        <v>457</v>
      </c>
      <c r="AR1" s="157" t="s">
        <v>458</v>
      </c>
      <c r="AS1" s="31" t="s">
        <v>459</v>
      </c>
      <c r="AT1" s="31" t="s">
        <v>460</v>
      </c>
      <c r="AU1" s="31" t="s">
        <v>461</v>
      </c>
      <c r="AV1" s="31" t="s">
        <v>462</v>
      </c>
      <c r="AW1" s="31" t="s">
        <v>456</v>
      </c>
      <c r="AX1" s="31" t="s">
        <v>48</v>
      </c>
      <c r="AY1" s="31" t="s">
        <v>49</v>
      </c>
      <c r="AZ1" s="31" t="s">
        <v>52</v>
      </c>
      <c r="BA1" s="31" t="s">
        <v>51</v>
      </c>
      <c r="BB1" s="31" t="s">
        <v>216</v>
      </c>
      <c r="BC1" s="31" t="s">
        <v>507</v>
      </c>
      <c r="BD1" s="31" t="s">
        <v>508</v>
      </c>
      <c r="BE1" s="31" t="s">
        <v>721</v>
      </c>
      <c r="BF1" s="31" t="s">
        <v>509</v>
      </c>
      <c r="BG1" s="31" t="s">
        <v>510</v>
      </c>
      <c r="BH1" s="31" t="s">
        <v>511</v>
      </c>
      <c r="BI1" s="31" t="s">
        <v>2418</v>
      </c>
      <c r="BJ1" s="31" t="s">
        <v>528</v>
      </c>
      <c r="BK1" s="31" t="s">
        <v>512</v>
      </c>
      <c r="BL1" s="31" t="s">
        <v>513</v>
      </c>
      <c r="BM1" s="31" t="s">
        <v>719</v>
      </c>
      <c r="BN1" s="31" t="s">
        <v>720</v>
      </c>
      <c r="BO1" s="31" t="s">
        <v>514</v>
      </c>
      <c r="BP1" s="31" t="s">
        <v>515</v>
      </c>
      <c r="BQ1" s="31" t="s">
        <v>516</v>
      </c>
      <c r="BR1" s="31" t="s">
        <v>718</v>
      </c>
      <c r="BS1" s="31" t="s">
        <v>517</v>
      </c>
      <c r="BT1" s="31" t="s">
        <v>518</v>
      </c>
      <c r="BU1" s="31" t="s">
        <v>717</v>
      </c>
      <c r="BV1" s="31" t="s">
        <v>519</v>
      </c>
      <c r="BW1" s="31" t="s">
        <v>521</v>
      </c>
      <c r="BX1" s="31" t="s">
        <v>526</v>
      </c>
      <c r="BY1" s="31" t="s">
        <v>523</v>
      </c>
      <c r="BZ1" s="31" t="s">
        <v>524</v>
      </c>
      <c r="CA1" s="31" t="s">
        <v>529</v>
      </c>
      <c r="CB1" s="31" t="s">
        <v>522</v>
      </c>
      <c r="CC1" s="31" t="s">
        <v>527</v>
      </c>
      <c r="CD1" s="31" t="s">
        <v>520</v>
      </c>
      <c r="CE1" s="31" t="s">
        <v>525</v>
      </c>
      <c r="CF1" s="31" t="s">
        <v>530</v>
      </c>
      <c r="CG1" s="31" t="s">
        <v>707</v>
      </c>
      <c r="CH1" s="31" t="s">
        <v>710</v>
      </c>
      <c r="CI1" s="31" t="s">
        <v>708</v>
      </c>
      <c r="CJ1" s="31" t="s">
        <v>709</v>
      </c>
      <c r="CK1" s="31" t="s">
        <v>711</v>
      </c>
      <c r="CL1" s="31" t="s">
        <v>712</v>
      </c>
      <c r="CM1" s="31" t="s">
        <v>715</v>
      </c>
      <c r="CN1" s="31" t="s">
        <v>713</v>
      </c>
      <c r="CO1" s="31" t="s">
        <v>714</v>
      </c>
      <c r="CP1" s="157" t="s">
        <v>716</v>
      </c>
      <c r="CQ1" s="31" t="s">
        <v>722</v>
      </c>
      <c r="CR1" s="31" t="s">
        <v>725</v>
      </c>
      <c r="CS1" s="31" t="s">
        <v>723</v>
      </c>
      <c r="CT1" s="31" t="s">
        <v>724</v>
      </c>
      <c r="CU1" s="31" t="s">
        <v>726</v>
      </c>
      <c r="CV1" s="31" t="s">
        <v>536</v>
      </c>
      <c r="CW1" s="31" t="s">
        <v>537</v>
      </c>
      <c r="CX1" s="31" t="s">
        <v>538</v>
      </c>
      <c r="CY1" s="31" t="s">
        <v>539</v>
      </c>
      <c r="DA1" s="31" t="s">
        <v>543</v>
      </c>
      <c r="DB1" s="1" t="s">
        <v>131</v>
      </c>
      <c r="DC1" s="1" t="s">
        <v>50</v>
      </c>
      <c r="DD1" s="1" t="s">
        <v>192</v>
      </c>
      <c r="DE1" s="1" t="s">
        <v>193</v>
      </c>
      <c r="DF1" s="1" t="s">
        <v>194</v>
      </c>
    </row>
    <row r="2" spans="1:110" ht="15" outlineLevel="1">
      <c r="A2" s="234" t="s">
        <v>2398</v>
      </c>
      <c r="B2" s="166"/>
      <c r="C2" s="166"/>
      <c r="D2" s="166"/>
      <c r="E2" s="166"/>
      <c r="F2" s="166"/>
      <c r="G2" s="166"/>
      <c r="H2" s="166"/>
      <c r="I2" s="164" t="s">
        <v>2400</v>
      </c>
      <c r="J2" s="163"/>
      <c r="K2" s="163"/>
      <c r="L2" s="163"/>
      <c r="M2" s="163"/>
      <c r="N2" s="163"/>
      <c r="O2" s="163"/>
      <c r="P2" s="163"/>
      <c r="Q2" s="163"/>
      <c r="R2" s="163"/>
      <c r="S2" s="163"/>
      <c r="T2" s="163"/>
      <c r="U2" s="163"/>
      <c r="V2" s="163"/>
      <c r="W2" s="163"/>
      <c r="X2" s="163"/>
      <c r="Y2" s="151" t="s">
        <v>2402</v>
      </c>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8"/>
      <c r="AX2" s="169" t="s">
        <v>542</v>
      </c>
      <c r="AY2" s="170"/>
      <c r="AZ2" s="170"/>
      <c r="BA2" s="170"/>
      <c r="BB2" s="170"/>
      <c r="BC2" s="171" t="s">
        <v>532</v>
      </c>
      <c r="BD2" s="172"/>
      <c r="BE2" s="172"/>
      <c r="BF2" s="172"/>
      <c r="BG2" s="172"/>
      <c r="BH2" s="172"/>
      <c r="BI2" s="171"/>
      <c r="BJ2" s="173"/>
      <c r="BK2" s="174" t="s">
        <v>533</v>
      </c>
      <c r="BL2" s="175"/>
      <c r="BM2" s="175"/>
      <c r="BN2" s="175"/>
      <c r="BO2" s="176"/>
      <c r="BP2" s="171" t="s">
        <v>535</v>
      </c>
      <c r="BQ2" s="172"/>
      <c r="BR2" s="173"/>
      <c r="BS2" s="174" t="s">
        <v>534</v>
      </c>
      <c r="BT2" s="175"/>
      <c r="BU2" s="175"/>
      <c r="BV2" s="176"/>
      <c r="BW2" s="177" t="s">
        <v>2305</v>
      </c>
      <c r="BX2" s="178"/>
      <c r="BY2" s="178"/>
      <c r="BZ2" s="178"/>
      <c r="CA2" s="179"/>
      <c r="CB2" s="180" t="s">
        <v>531</v>
      </c>
      <c r="CC2" s="181"/>
      <c r="CD2" s="181"/>
      <c r="CE2" s="181"/>
      <c r="CF2" s="182"/>
      <c r="CG2" s="183" t="s">
        <v>2323</v>
      </c>
      <c r="CH2" s="184"/>
      <c r="CI2" s="184"/>
      <c r="CJ2" s="184"/>
      <c r="CK2" s="184"/>
      <c r="CL2" s="184"/>
      <c r="CM2" s="184"/>
      <c r="CN2" s="184"/>
      <c r="CO2" s="184"/>
      <c r="CP2" s="184"/>
      <c r="CQ2" s="184"/>
      <c r="CR2" s="184"/>
      <c r="CS2" s="184"/>
      <c r="CT2" s="184"/>
      <c r="CU2" s="185"/>
      <c r="CV2" s="186" t="s">
        <v>540</v>
      </c>
      <c r="CW2" s="187"/>
      <c r="CX2" s="187"/>
      <c r="CY2" s="188"/>
      <c r="CZ2" s="5"/>
      <c r="DA2" s="205" t="s">
        <v>2337</v>
      </c>
      <c r="DB2" s="205"/>
      <c r="DC2" s="205"/>
      <c r="DD2" s="205"/>
      <c r="DE2" s="205"/>
      <c r="DF2" s="204"/>
    </row>
    <row r="3" spans="1:110" ht="23.4" customHeight="1" outlineLevel="1">
      <c r="A3" s="158" t="s">
        <v>1033</v>
      </c>
      <c r="B3" s="158"/>
      <c r="C3" s="15" t="s">
        <v>2158</v>
      </c>
      <c r="D3" s="15" t="s">
        <v>2159</v>
      </c>
      <c r="E3" s="15" t="s">
        <v>2160</v>
      </c>
      <c r="F3" s="15" t="s">
        <v>2161</v>
      </c>
      <c r="G3" s="15" t="s">
        <v>2162</v>
      </c>
      <c r="H3" s="15" t="s">
        <v>2163</v>
      </c>
      <c r="I3" s="15" t="s">
        <v>2155</v>
      </c>
      <c r="J3" s="15" t="s">
        <v>2119</v>
      </c>
      <c r="K3" s="15" t="s">
        <v>2121</v>
      </c>
      <c r="L3" s="15" t="s">
        <v>2074</v>
      </c>
      <c r="M3" s="15" t="s">
        <v>2080</v>
      </c>
      <c r="N3" s="15" t="s">
        <v>2058</v>
      </c>
      <c r="O3" s="15" t="s">
        <v>2056</v>
      </c>
      <c r="P3" s="15" t="s">
        <v>2057</v>
      </c>
      <c r="Q3" s="15"/>
      <c r="R3" s="15" t="s">
        <v>2084</v>
      </c>
      <c r="S3" s="15" t="s">
        <v>175</v>
      </c>
      <c r="T3" s="15" t="s">
        <v>2262</v>
      </c>
      <c r="U3" s="15" t="s">
        <v>2088</v>
      </c>
      <c r="V3" s="15" t="s">
        <v>2092</v>
      </c>
      <c r="W3" s="15" t="s">
        <v>2095</v>
      </c>
      <c r="X3" s="15" t="s">
        <v>2099</v>
      </c>
      <c r="Y3" s="15" t="s">
        <v>2064</v>
      </c>
      <c r="Z3" s="15" t="s">
        <v>2058</v>
      </c>
      <c r="AA3" s="15" t="s">
        <v>2183</v>
      </c>
      <c r="AB3" s="15" t="s">
        <v>2186</v>
      </c>
      <c r="AC3" s="15" t="s">
        <v>2190</v>
      </c>
      <c r="AD3" s="15" t="s">
        <v>2191</v>
      </c>
      <c r="AE3" s="15" t="s">
        <v>2192</v>
      </c>
      <c r="AF3" s="15" t="s">
        <v>2201</v>
      </c>
      <c r="AG3" s="15" t="s">
        <v>2200</v>
      </c>
      <c r="AH3" s="15" t="s">
        <v>2213</v>
      </c>
      <c r="AI3" s="15" t="s">
        <v>2216</v>
      </c>
      <c r="AJ3" s="15" t="s">
        <v>2223</v>
      </c>
      <c r="AK3" s="15" t="s">
        <v>2228</v>
      </c>
      <c r="AL3" s="15" t="s">
        <v>2231</v>
      </c>
      <c r="AM3" s="15" t="s">
        <v>2239</v>
      </c>
      <c r="AN3" s="15" t="s">
        <v>2235</v>
      </c>
      <c r="AO3" s="15" t="s">
        <v>2241</v>
      </c>
      <c r="AP3" s="15" t="s">
        <v>2240</v>
      </c>
      <c r="AQ3" s="15" t="s">
        <v>2245</v>
      </c>
      <c r="AR3" s="15" t="s">
        <v>2252</v>
      </c>
      <c r="AS3" s="15" t="s">
        <v>2254</v>
      </c>
      <c r="AT3" s="15" t="s">
        <v>2246</v>
      </c>
      <c r="AU3" s="15" t="s">
        <v>2253</v>
      </c>
      <c r="AV3" s="15" t="s">
        <v>2255</v>
      </c>
      <c r="AW3" s="15" t="s">
        <v>2261</v>
      </c>
      <c r="AX3" s="15" t="s">
        <v>2264</v>
      </c>
      <c r="AY3" s="15" t="s">
        <v>2267</v>
      </c>
      <c r="AZ3" s="15" t="s">
        <v>2275</v>
      </c>
      <c r="BA3" s="15" t="s">
        <v>2269</v>
      </c>
      <c r="BB3" s="15" t="s">
        <v>2270</v>
      </c>
      <c r="BC3" s="15" t="s">
        <v>308</v>
      </c>
      <c r="BD3" s="15" t="s">
        <v>160</v>
      </c>
      <c r="BE3" s="15" t="s">
        <v>2284</v>
      </c>
      <c r="BF3" s="15" t="s">
        <v>308</v>
      </c>
      <c r="BG3" s="15" t="s">
        <v>160</v>
      </c>
      <c r="BH3" s="15" t="s">
        <v>2284</v>
      </c>
      <c r="BI3" s="15" t="s">
        <v>308</v>
      </c>
      <c r="BJ3" s="15" t="s">
        <v>179</v>
      </c>
      <c r="BK3" s="15" t="s">
        <v>308</v>
      </c>
      <c r="BL3" s="15" t="s">
        <v>160</v>
      </c>
      <c r="BM3" s="15" t="s">
        <v>2284</v>
      </c>
      <c r="BN3" s="15" t="s">
        <v>2291</v>
      </c>
      <c r="BO3" s="15" t="s">
        <v>179</v>
      </c>
      <c r="BP3" s="15" t="s">
        <v>308</v>
      </c>
      <c r="BQ3" s="15" t="s">
        <v>160</v>
      </c>
      <c r="BR3" s="15" t="s">
        <v>2284</v>
      </c>
      <c r="BS3" s="15" t="s">
        <v>308</v>
      </c>
      <c r="BT3" s="15" t="s">
        <v>160</v>
      </c>
      <c r="BU3" s="15" t="s">
        <v>2291</v>
      </c>
      <c r="BV3" s="15" t="s">
        <v>179</v>
      </c>
      <c r="BW3" s="15" t="s">
        <v>2309</v>
      </c>
      <c r="BX3" s="15" t="s">
        <v>2309</v>
      </c>
      <c r="BY3" s="15" t="s">
        <v>2309</v>
      </c>
      <c r="BZ3" s="15" t="s">
        <v>2309</v>
      </c>
      <c r="CA3" s="201" t="s">
        <v>2312</v>
      </c>
      <c r="CB3" s="15" t="s">
        <v>2310</v>
      </c>
      <c r="CC3" s="15" t="s">
        <v>2310</v>
      </c>
      <c r="CD3" s="15" t="s">
        <v>2310</v>
      </c>
      <c r="CE3" s="15" t="s">
        <v>2310</v>
      </c>
      <c r="CF3" s="201" t="s">
        <v>2313</v>
      </c>
      <c r="CG3" s="15" t="s">
        <v>2324</v>
      </c>
      <c r="CH3" s="15" t="s">
        <v>2318</v>
      </c>
      <c r="CI3" s="15" t="s">
        <v>2318</v>
      </c>
      <c r="CJ3" s="15" t="s">
        <v>2318</v>
      </c>
      <c r="CK3" s="200" t="s">
        <v>2319</v>
      </c>
      <c r="CL3" s="15" t="s">
        <v>2327</v>
      </c>
      <c r="CM3" s="15" t="s">
        <v>2327</v>
      </c>
      <c r="CN3" s="15" t="s">
        <v>2327</v>
      </c>
      <c r="CO3" s="15" t="s">
        <v>2327</v>
      </c>
      <c r="CP3" s="200" t="s">
        <v>2328</v>
      </c>
      <c r="CQ3" s="15" t="s">
        <v>2334</v>
      </c>
      <c r="CR3" s="15" t="s">
        <v>2334</v>
      </c>
      <c r="CS3" s="15" t="s">
        <v>2334</v>
      </c>
      <c r="CT3" s="15" t="s">
        <v>2334</v>
      </c>
      <c r="CU3" s="15" t="s">
        <v>2333</v>
      </c>
      <c r="CV3" s="15" t="s">
        <v>2336</v>
      </c>
      <c r="CW3" s="15" t="s">
        <v>2336</v>
      </c>
      <c r="CX3" s="15" t="s">
        <v>2336</v>
      </c>
      <c r="CY3" s="15" t="s">
        <v>2336</v>
      </c>
      <c r="CZ3" s="5"/>
      <c r="DA3" s="15"/>
      <c r="DB3" s="15"/>
      <c r="DC3" s="15"/>
      <c r="DD3" s="15"/>
      <c r="DE3" s="15"/>
      <c r="DF3" s="15"/>
    </row>
    <row r="4" spans="1:110" ht="12" customHeight="1" outlineLevel="1">
      <c r="A4" s="158" t="s">
        <v>1034</v>
      </c>
      <c r="B4" s="158"/>
      <c r="C4" s="158"/>
      <c r="D4" s="158"/>
      <c r="E4" s="158"/>
      <c r="F4" s="158"/>
      <c r="G4" s="158"/>
      <c r="H4" s="158"/>
      <c r="I4" s="15"/>
      <c r="J4" s="15"/>
      <c r="K4" s="15" t="s">
        <v>2136</v>
      </c>
      <c r="L4" s="15"/>
      <c r="M4" s="15" t="s">
        <v>2010</v>
      </c>
      <c r="N4" s="15" t="s">
        <v>2059</v>
      </c>
      <c r="O4" s="15" t="s">
        <v>2048</v>
      </c>
      <c r="P4" s="15" t="s">
        <v>2054</v>
      </c>
      <c r="Q4" s="15"/>
      <c r="R4" s="15"/>
      <c r="S4" s="15"/>
      <c r="T4" s="15"/>
      <c r="U4" s="15"/>
      <c r="V4" s="15"/>
      <c r="W4" s="15"/>
      <c r="X4" s="15"/>
      <c r="Y4" s="15"/>
      <c r="Z4" s="15" t="s">
        <v>2182</v>
      </c>
      <c r="AA4" s="15"/>
      <c r="AB4" s="15"/>
      <c r="AC4" s="15" t="s">
        <v>2193</v>
      </c>
      <c r="AD4" s="15" t="s">
        <v>2056</v>
      </c>
      <c r="AE4" s="15" t="s">
        <v>2057</v>
      </c>
      <c r="AF4" s="15" t="s">
        <v>2266</v>
      </c>
      <c r="AG4" s="15" t="s">
        <v>2265</v>
      </c>
      <c r="AH4" s="15" t="s">
        <v>2221</v>
      </c>
      <c r="AI4" s="15" t="s">
        <v>2221</v>
      </c>
      <c r="AJ4" s="15" t="s">
        <v>2225</v>
      </c>
      <c r="AK4" s="15"/>
      <c r="AL4" s="15"/>
      <c r="AM4" s="15" t="s">
        <v>2234</v>
      </c>
      <c r="AN4" s="15" t="s">
        <v>2238</v>
      </c>
      <c r="AO4" s="15" t="s">
        <v>2234</v>
      </c>
      <c r="AP4" s="15" t="s">
        <v>2238</v>
      </c>
      <c r="AQ4" s="15"/>
      <c r="AR4" s="15"/>
      <c r="AS4" s="15" t="s">
        <v>2244</v>
      </c>
      <c r="AT4" s="15"/>
      <c r="AU4" s="15"/>
      <c r="AV4" s="15" t="s">
        <v>2251</v>
      </c>
      <c r="AW4" s="15"/>
      <c r="AX4" s="15" t="s">
        <v>2265</v>
      </c>
      <c r="AY4" s="15" t="s">
        <v>2268</v>
      </c>
      <c r="AZ4" s="15" t="s">
        <v>2268</v>
      </c>
      <c r="BA4" s="15" t="s">
        <v>2268</v>
      </c>
      <c r="BB4" s="15" t="s">
        <v>2279</v>
      </c>
      <c r="BC4" s="15" t="s">
        <v>2281</v>
      </c>
      <c r="BD4" s="15" t="s">
        <v>2281</v>
      </c>
      <c r="BE4" s="15" t="s">
        <v>2281</v>
      </c>
      <c r="BF4" s="15" t="s">
        <v>2281</v>
      </c>
      <c r="BG4" s="15" t="s">
        <v>2281</v>
      </c>
      <c r="BH4" s="15" t="s">
        <v>2281</v>
      </c>
      <c r="BI4" s="15" t="s">
        <v>2281</v>
      </c>
      <c r="BJ4" s="15" t="s">
        <v>2281</v>
      </c>
      <c r="BK4" s="15" t="s">
        <v>175</v>
      </c>
      <c r="BL4" s="15" t="s">
        <v>175</v>
      </c>
      <c r="BM4" s="15" t="s">
        <v>175</v>
      </c>
      <c r="BN4" s="15" t="s">
        <v>175</v>
      </c>
      <c r="BO4" s="15" t="s">
        <v>175</v>
      </c>
      <c r="BP4" s="15" t="s">
        <v>2296</v>
      </c>
      <c r="BQ4" s="15" t="s">
        <v>2296</v>
      </c>
      <c r="BR4" s="15" t="s">
        <v>2296</v>
      </c>
      <c r="BS4" s="15" t="s">
        <v>2302</v>
      </c>
      <c r="BT4" s="15" t="s">
        <v>2302</v>
      </c>
      <c r="BU4" s="15" t="s">
        <v>2302</v>
      </c>
      <c r="BV4" s="15" t="s">
        <v>2302</v>
      </c>
      <c r="BW4" s="15" t="s">
        <v>2281</v>
      </c>
      <c r="BX4" s="15" t="s">
        <v>2302</v>
      </c>
      <c r="BY4" s="15" t="s">
        <v>175</v>
      </c>
      <c r="BZ4" s="15" t="s">
        <v>2316</v>
      </c>
      <c r="CA4" s="15" t="s">
        <v>191</v>
      </c>
      <c r="CB4" s="15" t="s">
        <v>2281</v>
      </c>
      <c r="CC4" s="15" t="s">
        <v>2302</v>
      </c>
      <c r="CD4" s="15" t="s">
        <v>175</v>
      </c>
      <c r="CE4" s="15" t="s">
        <v>2316</v>
      </c>
      <c r="CF4" s="15" t="s">
        <v>191</v>
      </c>
      <c r="CG4" s="15" t="s">
        <v>2281</v>
      </c>
      <c r="CH4" s="15" t="s">
        <v>2302</v>
      </c>
      <c r="CI4" s="15" t="s">
        <v>175</v>
      </c>
      <c r="CJ4" s="15" t="s">
        <v>2316</v>
      </c>
      <c r="CK4" s="200" t="s">
        <v>542</v>
      </c>
      <c r="CL4" s="15" t="s">
        <v>2281</v>
      </c>
      <c r="CM4" s="15" t="s">
        <v>2302</v>
      </c>
      <c r="CN4" s="15" t="s">
        <v>175</v>
      </c>
      <c r="CO4" s="15" t="s">
        <v>2316</v>
      </c>
      <c r="CP4" s="200" t="s">
        <v>542</v>
      </c>
      <c r="CQ4" s="15" t="s">
        <v>2281</v>
      </c>
      <c r="CR4" s="15" t="s">
        <v>2302</v>
      </c>
      <c r="CS4" s="15" t="s">
        <v>175</v>
      </c>
      <c r="CT4" s="15" t="s">
        <v>2316</v>
      </c>
      <c r="CU4" s="15" t="s">
        <v>542</v>
      </c>
      <c r="CV4" s="15" t="s">
        <v>2281</v>
      </c>
      <c r="CW4" s="15" t="s">
        <v>2302</v>
      </c>
      <c r="CX4" s="15" t="s">
        <v>175</v>
      </c>
      <c r="CY4" s="15" t="s">
        <v>2316</v>
      </c>
      <c r="CZ4" s="5"/>
      <c r="DA4" s="15"/>
      <c r="DB4" s="15"/>
      <c r="DC4" s="15"/>
      <c r="DD4" s="15"/>
      <c r="DE4" s="15"/>
      <c r="DF4" s="15"/>
    </row>
    <row r="5" spans="1:110" ht="10.199999999999999" customHeight="1" outlineLevel="1">
      <c r="A5" s="158" t="s">
        <v>1035</v>
      </c>
      <c r="B5" s="158"/>
      <c r="C5" s="158" t="s">
        <v>541</v>
      </c>
      <c r="D5" s="158"/>
      <c r="E5" s="158"/>
      <c r="F5" s="158"/>
      <c r="G5" s="158"/>
      <c r="H5" s="158"/>
      <c r="I5" s="15"/>
      <c r="J5" s="15"/>
      <c r="K5" s="15"/>
      <c r="L5" s="15" t="s">
        <v>2075</v>
      </c>
      <c r="M5" s="15" t="s">
        <v>2081</v>
      </c>
      <c r="N5" s="15" t="s">
        <v>2060</v>
      </c>
      <c r="O5" s="15" t="s">
        <v>2049</v>
      </c>
      <c r="P5" s="15" t="s">
        <v>2049</v>
      </c>
      <c r="Q5" s="15"/>
      <c r="R5" s="15" t="s">
        <v>2085</v>
      </c>
      <c r="S5" s="15"/>
      <c r="T5" s="15"/>
      <c r="U5" s="15"/>
      <c r="V5" s="15"/>
      <c r="W5" s="15" t="s">
        <v>2096</v>
      </c>
      <c r="X5" s="15"/>
      <c r="Y5" s="15"/>
      <c r="Z5" s="15"/>
      <c r="AA5" s="15"/>
      <c r="AB5" s="15"/>
      <c r="AC5" s="15"/>
      <c r="AD5" s="15"/>
      <c r="AE5" s="15"/>
      <c r="AF5" s="15"/>
      <c r="AG5" s="15"/>
      <c r="AH5" s="15" t="s">
        <v>2214</v>
      </c>
      <c r="AI5" s="15" t="s">
        <v>2096</v>
      </c>
      <c r="AJ5" s="15"/>
      <c r="AK5" s="15"/>
      <c r="AL5" s="15"/>
      <c r="AM5" s="15"/>
      <c r="AN5" s="15"/>
      <c r="AO5" s="15"/>
      <c r="AP5" s="15"/>
      <c r="AQ5" s="15"/>
      <c r="AR5" s="15"/>
      <c r="AS5" s="15"/>
      <c r="AT5" s="15"/>
      <c r="AU5" s="15"/>
      <c r="AV5" s="15"/>
      <c r="AW5" s="15"/>
      <c r="AX5" s="15"/>
      <c r="AY5" s="15"/>
      <c r="AZ5" s="15"/>
      <c r="BA5" s="15"/>
      <c r="BB5" s="15"/>
      <c r="BC5" s="15" t="s">
        <v>2283</v>
      </c>
      <c r="BD5" s="15" t="s">
        <v>2283</v>
      </c>
      <c r="BE5" s="15" t="s">
        <v>2283</v>
      </c>
      <c r="BF5" s="15" t="s">
        <v>2282</v>
      </c>
      <c r="BG5" s="15" t="s">
        <v>2282</v>
      </c>
      <c r="BH5" s="15" t="s">
        <v>2282</v>
      </c>
      <c r="BI5" s="15" t="s">
        <v>2283</v>
      </c>
      <c r="BJ5" s="15"/>
      <c r="BK5" s="15"/>
      <c r="BL5" s="15"/>
      <c r="BM5" s="15"/>
      <c r="BN5" s="15"/>
      <c r="BO5" s="15"/>
      <c r="BP5" s="15"/>
      <c r="BQ5" s="15"/>
      <c r="BR5" s="15"/>
      <c r="BS5" s="15"/>
      <c r="BT5" s="15"/>
      <c r="BU5" s="15"/>
      <c r="BV5" s="15"/>
      <c r="BW5" s="15" t="s">
        <v>63</v>
      </c>
      <c r="BX5" s="15" t="s">
        <v>131</v>
      </c>
      <c r="BY5" s="15" t="s">
        <v>130</v>
      </c>
      <c r="BZ5" s="15" t="s">
        <v>183</v>
      </c>
      <c r="CA5" s="15"/>
      <c r="CB5" s="15" t="s">
        <v>63</v>
      </c>
      <c r="CC5" s="15" t="s">
        <v>131</v>
      </c>
      <c r="CD5" s="15" t="s">
        <v>130</v>
      </c>
      <c r="CE5" s="15" t="s">
        <v>183</v>
      </c>
      <c r="CF5" s="15"/>
      <c r="CG5" s="15" t="s">
        <v>63</v>
      </c>
      <c r="CH5" s="15" t="s">
        <v>131</v>
      </c>
      <c r="CI5" s="15" t="s">
        <v>130</v>
      </c>
      <c r="CJ5" s="15" t="s">
        <v>183</v>
      </c>
      <c r="CK5" s="200" t="s">
        <v>706</v>
      </c>
      <c r="CL5" s="15" t="s">
        <v>63</v>
      </c>
      <c r="CM5" s="15" t="s">
        <v>131</v>
      </c>
      <c r="CN5" s="15" t="s">
        <v>130</v>
      </c>
      <c r="CO5" s="15" t="s">
        <v>183</v>
      </c>
      <c r="CP5" s="200" t="s">
        <v>706</v>
      </c>
      <c r="CQ5" s="15" t="s">
        <v>63</v>
      </c>
      <c r="CR5" s="15" t="s">
        <v>131</v>
      </c>
      <c r="CS5" s="15" t="s">
        <v>130</v>
      </c>
      <c r="CT5" s="15" t="s">
        <v>183</v>
      </c>
      <c r="CU5" s="15" t="s">
        <v>706</v>
      </c>
      <c r="CV5" s="15" t="s">
        <v>63</v>
      </c>
      <c r="CW5" s="15" t="s">
        <v>131</v>
      </c>
      <c r="CX5" s="15" t="s">
        <v>130</v>
      </c>
      <c r="CY5" s="15" t="s">
        <v>183</v>
      </c>
      <c r="CZ5" s="5"/>
      <c r="DA5" s="15"/>
      <c r="DB5" s="15"/>
      <c r="DC5" s="15"/>
      <c r="DD5" s="15"/>
      <c r="DE5" s="15"/>
      <c r="DF5" s="15"/>
    </row>
    <row r="6" spans="1:110" ht="10.199999999999999" customHeight="1" collapsed="1">
      <c r="A6" s="160" t="s">
        <v>1266</v>
      </c>
      <c r="B6" s="160"/>
      <c r="C6" s="160"/>
      <c r="D6" s="160"/>
      <c r="E6" s="160"/>
      <c r="F6" s="160"/>
      <c r="G6" s="160"/>
      <c r="H6" s="160"/>
      <c r="I6" s="160"/>
      <c r="J6" s="160"/>
      <c r="K6" s="160"/>
      <c r="L6" s="162"/>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5"/>
      <c r="DA6" s="153"/>
      <c r="DB6" s="153"/>
      <c r="DC6" s="153"/>
      <c r="DD6" s="153"/>
      <c r="DE6" s="153"/>
      <c r="DF6" s="153"/>
    </row>
    <row r="7" spans="1:110" ht="13.8" hidden="1" customHeight="1" outlineLevel="1">
      <c r="A7" s="234" t="s">
        <v>2399</v>
      </c>
      <c r="B7" s="166"/>
      <c r="C7" s="166"/>
      <c r="D7" s="166"/>
      <c r="E7" s="166"/>
      <c r="F7" s="166"/>
      <c r="G7" s="166"/>
      <c r="H7" s="166"/>
      <c r="I7" s="164" t="s">
        <v>2401</v>
      </c>
      <c r="J7" s="163"/>
      <c r="K7" s="163"/>
      <c r="L7" s="163"/>
      <c r="M7" s="163"/>
      <c r="N7" s="163"/>
      <c r="O7" s="163"/>
      <c r="P7" s="163"/>
      <c r="Q7" s="163"/>
      <c r="R7" s="163"/>
      <c r="S7" s="163"/>
      <c r="T7" s="163"/>
      <c r="U7" s="163"/>
      <c r="V7" s="163"/>
      <c r="W7" s="163"/>
      <c r="X7" s="163"/>
      <c r="Y7" s="151" t="s">
        <v>2403</v>
      </c>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9" t="s">
        <v>2301</v>
      </c>
      <c r="AY7" s="170"/>
      <c r="AZ7" s="170"/>
      <c r="BA7" s="170"/>
      <c r="BB7" s="170"/>
      <c r="BC7" s="171" t="s">
        <v>2300</v>
      </c>
      <c r="BD7" s="172"/>
      <c r="BE7" s="172"/>
      <c r="BF7" s="172"/>
      <c r="BG7" s="172"/>
      <c r="BH7" s="172"/>
      <c r="BI7" s="171" t="s">
        <v>2300</v>
      </c>
      <c r="BJ7" s="173"/>
      <c r="BK7" s="174" t="s">
        <v>2299</v>
      </c>
      <c r="BL7" s="175"/>
      <c r="BM7" s="175"/>
      <c r="BN7" s="175"/>
      <c r="BO7" s="176"/>
      <c r="BP7" s="171" t="s">
        <v>2298</v>
      </c>
      <c r="BQ7" s="172"/>
      <c r="BR7" s="173"/>
      <c r="BS7" s="174" t="s">
        <v>2304</v>
      </c>
      <c r="BT7" s="175"/>
      <c r="BU7" s="175"/>
      <c r="BV7" s="176"/>
      <c r="BW7" s="177" t="s">
        <v>2307</v>
      </c>
      <c r="BX7" s="178"/>
      <c r="BY7" s="178"/>
      <c r="BZ7" s="178"/>
      <c r="CA7" s="179"/>
      <c r="CB7" s="180" t="s">
        <v>2306</v>
      </c>
      <c r="CC7" s="181"/>
      <c r="CD7" s="181"/>
      <c r="CE7" s="181"/>
      <c r="CF7" s="182"/>
      <c r="CG7" s="183" t="s">
        <v>2322</v>
      </c>
      <c r="CH7" s="184"/>
      <c r="CI7" s="184"/>
      <c r="CJ7" s="184"/>
      <c r="CK7" s="184"/>
      <c r="CL7" s="184"/>
      <c r="CM7" s="184"/>
      <c r="CN7" s="184"/>
      <c r="CO7" s="184"/>
      <c r="CP7" s="184"/>
      <c r="CQ7" s="184"/>
      <c r="CR7" s="184"/>
      <c r="CS7" s="184"/>
      <c r="CT7" s="184"/>
      <c r="CU7" s="185"/>
      <c r="CV7" s="186" t="s">
        <v>2321</v>
      </c>
      <c r="CW7" s="187"/>
      <c r="CX7" s="187"/>
      <c r="CY7" s="188"/>
      <c r="CZ7" s="5"/>
      <c r="DA7" s="205" t="s">
        <v>2338</v>
      </c>
      <c r="DB7" s="205"/>
      <c r="DC7" s="205"/>
      <c r="DD7" s="205"/>
      <c r="DE7" s="205"/>
      <c r="DF7" s="204"/>
    </row>
    <row r="8" spans="1:110" ht="30" hidden="1" customHeight="1" outlineLevel="1">
      <c r="A8" s="158" t="s">
        <v>1037</v>
      </c>
      <c r="B8" s="158"/>
      <c r="C8" s="15" t="s">
        <v>2164</v>
      </c>
      <c r="D8" s="15" t="s">
        <v>2165</v>
      </c>
      <c r="E8" s="15" t="s">
        <v>2166</v>
      </c>
      <c r="F8" s="15" t="s">
        <v>2167</v>
      </c>
      <c r="G8" s="15" t="s">
        <v>2168</v>
      </c>
      <c r="H8" s="15" t="s">
        <v>2169</v>
      </c>
      <c r="I8" s="15" t="s">
        <v>2156</v>
      </c>
      <c r="J8" s="15" t="s">
        <v>2120</v>
      </c>
      <c r="K8" s="15" t="s">
        <v>2122</v>
      </c>
      <c r="L8" s="15" t="s">
        <v>2076</v>
      </c>
      <c r="M8" s="15" t="s">
        <v>2082</v>
      </c>
      <c r="N8" s="15" t="s">
        <v>2061</v>
      </c>
      <c r="O8" s="15" t="s">
        <v>2090</v>
      </c>
      <c r="P8" s="15" t="s">
        <v>2091</v>
      </c>
      <c r="Q8" s="15"/>
      <c r="R8" s="15" t="s">
        <v>2086</v>
      </c>
      <c r="S8" s="15" t="s">
        <v>44</v>
      </c>
      <c r="T8" s="15" t="s">
        <v>2263</v>
      </c>
      <c r="U8" s="15" t="s">
        <v>2089</v>
      </c>
      <c r="V8" s="15" t="s">
        <v>2093</v>
      </c>
      <c r="W8" s="15" t="s">
        <v>2097</v>
      </c>
      <c r="X8" s="15" t="s">
        <v>2100</v>
      </c>
      <c r="Y8" s="15" t="s">
        <v>2065</v>
      </c>
      <c r="Z8" s="15" t="s">
        <v>2061</v>
      </c>
      <c r="AA8" s="15" t="s">
        <v>2184</v>
      </c>
      <c r="AB8" s="15" t="s">
        <v>2185</v>
      </c>
      <c r="AC8" s="15" t="s">
        <v>2194</v>
      </c>
      <c r="AD8" s="15" t="s">
        <v>2195</v>
      </c>
      <c r="AE8" s="15" t="s">
        <v>2196</v>
      </c>
      <c r="AF8" s="15" t="s">
        <v>2202</v>
      </c>
      <c r="AG8" s="15" t="s">
        <v>2204</v>
      </c>
      <c r="AH8" s="15" t="s">
        <v>2217</v>
      </c>
      <c r="AI8" s="15" t="s">
        <v>2218</v>
      </c>
      <c r="AJ8" s="15" t="s">
        <v>2222</v>
      </c>
      <c r="AK8" s="15" t="s">
        <v>2229</v>
      </c>
      <c r="AL8" s="15" t="s">
        <v>2232</v>
      </c>
      <c r="AM8" s="15" t="s">
        <v>2227</v>
      </c>
      <c r="AN8" s="15" t="s">
        <v>2236</v>
      </c>
      <c r="AO8" s="15" t="s">
        <v>2242</v>
      </c>
      <c r="AP8" s="15" t="s">
        <v>2243</v>
      </c>
      <c r="AQ8" s="15" t="s">
        <v>2247</v>
      </c>
      <c r="AR8" s="15" t="s">
        <v>2256</v>
      </c>
      <c r="AS8" s="15" t="s">
        <v>2257</v>
      </c>
      <c r="AT8" s="15" t="s">
        <v>2249</v>
      </c>
      <c r="AU8" s="15" t="s">
        <v>2258</v>
      </c>
      <c r="AV8" s="15" t="s">
        <v>2259</v>
      </c>
      <c r="AW8" s="15" t="s">
        <v>2260</v>
      </c>
      <c r="AX8" s="15" t="s">
        <v>2271</v>
      </c>
      <c r="AY8" s="15" t="s">
        <v>2273</v>
      </c>
      <c r="AZ8" s="15" t="s">
        <v>2274</v>
      </c>
      <c r="BA8" s="15" t="s">
        <v>2276</v>
      </c>
      <c r="BB8" s="15" t="s">
        <v>2277</v>
      </c>
      <c r="BC8" s="15" t="s">
        <v>2286</v>
      </c>
      <c r="BD8" s="15" t="s">
        <v>2287</v>
      </c>
      <c r="BE8" s="15" t="s">
        <v>2288</v>
      </c>
      <c r="BF8" s="15" t="s">
        <v>2286</v>
      </c>
      <c r="BG8" s="15" t="s">
        <v>2287</v>
      </c>
      <c r="BH8" s="15" t="s">
        <v>2288</v>
      </c>
      <c r="BI8" s="15" t="s">
        <v>2286</v>
      </c>
      <c r="BJ8" s="15" t="s">
        <v>2290</v>
      </c>
      <c r="BK8" s="15" t="s">
        <v>2286</v>
      </c>
      <c r="BL8" s="15" t="s">
        <v>2287</v>
      </c>
      <c r="BM8" s="15" t="s">
        <v>2288</v>
      </c>
      <c r="BN8" s="15" t="s">
        <v>2293</v>
      </c>
      <c r="BO8" s="15" t="s">
        <v>2290</v>
      </c>
      <c r="BP8" s="15" t="s">
        <v>2286</v>
      </c>
      <c r="BQ8" s="15" t="s">
        <v>2287</v>
      </c>
      <c r="BR8" s="15" t="s">
        <v>2288</v>
      </c>
      <c r="BS8" s="15" t="s">
        <v>2286</v>
      </c>
      <c r="BT8" s="15" t="s">
        <v>2287</v>
      </c>
      <c r="BU8" s="15" t="s">
        <v>2292</v>
      </c>
      <c r="BV8" s="15" t="s">
        <v>2290</v>
      </c>
      <c r="BW8" s="15" t="s">
        <v>2308</v>
      </c>
      <c r="BX8" s="15" t="s">
        <v>2308</v>
      </c>
      <c r="BY8" s="15" t="s">
        <v>2308</v>
      </c>
      <c r="BZ8" s="15" t="s">
        <v>2308</v>
      </c>
      <c r="CA8" s="201" t="s">
        <v>2311</v>
      </c>
      <c r="CB8" s="15" t="s">
        <v>2314</v>
      </c>
      <c r="CC8" s="15" t="s">
        <v>2314</v>
      </c>
      <c r="CD8" s="15" t="s">
        <v>2314</v>
      </c>
      <c r="CE8" s="15" t="s">
        <v>2314</v>
      </c>
      <c r="CF8" s="201" t="s">
        <v>2315</v>
      </c>
      <c r="CG8" s="15" t="s">
        <v>2325</v>
      </c>
      <c r="CH8" s="15" t="s">
        <v>2325</v>
      </c>
      <c r="CI8" s="15" t="s">
        <v>2325</v>
      </c>
      <c r="CJ8" s="15" t="s">
        <v>2325</v>
      </c>
      <c r="CK8" s="200" t="s">
        <v>2326</v>
      </c>
      <c r="CL8" s="15" t="s">
        <v>2329</v>
      </c>
      <c r="CM8" s="15" t="s">
        <v>2329</v>
      </c>
      <c r="CN8" s="15" t="s">
        <v>2329</v>
      </c>
      <c r="CO8" s="15" t="s">
        <v>2329</v>
      </c>
      <c r="CP8" s="200" t="s">
        <v>2330</v>
      </c>
      <c r="CQ8" s="15" t="s">
        <v>2331</v>
      </c>
      <c r="CR8" s="15" t="s">
        <v>2331</v>
      </c>
      <c r="CS8" s="15" t="s">
        <v>2331</v>
      </c>
      <c r="CT8" s="15" t="s">
        <v>2331</v>
      </c>
      <c r="CU8" s="15" t="s">
        <v>2332</v>
      </c>
      <c r="CV8" s="15" t="s">
        <v>2335</v>
      </c>
      <c r="CW8" s="15" t="s">
        <v>2335</v>
      </c>
      <c r="CX8" s="15" t="s">
        <v>2335</v>
      </c>
      <c r="CY8" s="15" t="s">
        <v>2335</v>
      </c>
      <c r="CZ8" s="5"/>
      <c r="DA8" s="15"/>
      <c r="DB8" s="15"/>
      <c r="DC8" s="15"/>
      <c r="DD8" s="15"/>
      <c r="DE8" s="15"/>
      <c r="DF8" s="15"/>
    </row>
    <row r="9" spans="1:110" ht="13.8" hidden="1" customHeight="1" outlineLevel="1">
      <c r="A9" s="158" t="s">
        <v>1038</v>
      </c>
      <c r="B9" s="158"/>
      <c r="C9" s="158"/>
      <c r="D9" s="158"/>
      <c r="E9" s="158"/>
      <c r="F9" s="158"/>
      <c r="G9" s="158"/>
      <c r="H9" s="158"/>
      <c r="I9" s="15"/>
      <c r="J9" s="15"/>
      <c r="K9" s="15" t="s">
        <v>2157</v>
      </c>
      <c r="L9" s="15" t="s">
        <v>2077</v>
      </c>
      <c r="M9" s="15" t="s">
        <v>2011</v>
      </c>
      <c r="N9" s="15" t="s">
        <v>2062</v>
      </c>
      <c r="O9" s="15" t="s">
        <v>2050</v>
      </c>
      <c r="P9" s="15" t="s">
        <v>2055</v>
      </c>
      <c r="Q9" s="15"/>
      <c r="R9" s="15"/>
      <c r="S9" s="15"/>
      <c r="T9" s="15"/>
      <c r="U9" s="15"/>
      <c r="V9" s="15"/>
      <c r="W9" s="15" t="s">
        <v>1264</v>
      </c>
      <c r="X9" s="15"/>
      <c r="Y9" s="15"/>
      <c r="Z9" s="15" t="s">
        <v>2181</v>
      </c>
      <c r="AA9" s="15"/>
      <c r="AB9" s="15"/>
      <c r="AC9" s="15" t="s">
        <v>2197</v>
      </c>
      <c r="AD9" s="15" t="s">
        <v>2198</v>
      </c>
      <c r="AE9" s="15" t="s">
        <v>2199</v>
      </c>
      <c r="AF9" s="15" t="s">
        <v>2203</v>
      </c>
      <c r="AG9" s="15" t="s">
        <v>2205</v>
      </c>
      <c r="AH9" s="15" t="s">
        <v>2219</v>
      </c>
      <c r="AI9" s="15" t="s">
        <v>2219</v>
      </c>
      <c r="AJ9" s="15" t="s">
        <v>2224</v>
      </c>
      <c r="AK9" s="15"/>
      <c r="AL9" s="15"/>
      <c r="AM9" s="15" t="s">
        <v>2233</v>
      </c>
      <c r="AN9" s="15" t="s">
        <v>2237</v>
      </c>
      <c r="AO9" s="15" t="s">
        <v>2233</v>
      </c>
      <c r="AP9" s="15" t="s">
        <v>2237</v>
      </c>
      <c r="AQ9" s="15"/>
      <c r="AR9" s="15"/>
      <c r="AS9" s="15" t="s">
        <v>2248</v>
      </c>
      <c r="AT9" s="15"/>
      <c r="AU9" s="15"/>
      <c r="AV9" s="15" t="s">
        <v>2250</v>
      </c>
      <c r="AW9" s="15"/>
      <c r="AX9" s="15" t="s">
        <v>2272</v>
      </c>
      <c r="AY9" s="15" t="s">
        <v>2278</v>
      </c>
      <c r="AZ9" s="15" t="s">
        <v>2278</v>
      </c>
      <c r="BA9" s="15" t="s">
        <v>2278</v>
      </c>
      <c r="BB9" s="15" t="s">
        <v>2280</v>
      </c>
      <c r="BC9" s="15" t="s">
        <v>2289</v>
      </c>
      <c r="BD9" s="15" t="s">
        <v>2289</v>
      </c>
      <c r="BE9" s="15" t="s">
        <v>2289</v>
      </c>
      <c r="BF9" s="15" t="s">
        <v>2289</v>
      </c>
      <c r="BG9" s="15" t="s">
        <v>2285</v>
      </c>
      <c r="BH9" s="15" t="s">
        <v>2285</v>
      </c>
      <c r="BI9" s="15" t="s">
        <v>2289</v>
      </c>
      <c r="BJ9" s="15" t="s">
        <v>2289</v>
      </c>
      <c r="BK9" s="15" t="s">
        <v>44</v>
      </c>
      <c r="BL9" s="15" t="s">
        <v>44</v>
      </c>
      <c r="BM9" s="15" t="s">
        <v>44</v>
      </c>
      <c r="BN9" s="15" t="s">
        <v>44</v>
      </c>
      <c r="BO9" s="15" t="s">
        <v>44</v>
      </c>
      <c r="BP9" s="15" t="s">
        <v>2297</v>
      </c>
      <c r="BQ9" s="15" t="s">
        <v>2297</v>
      </c>
      <c r="BR9" s="15" t="s">
        <v>2297</v>
      </c>
      <c r="BS9" s="15" t="s">
        <v>2303</v>
      </c>
      <c r="BT9" s="15" t="s">
        <v>2303</v>
      </c>
      <c r="BU9" s="15" t="s">
        <v>2303</v>
      </c>
      <c r="BV9" s="15" t="s">
        <v>2303</v>
      </c>
      <c r="BW9" s="15" t="s">
        <v>2289</v>
      </c>
      <c r="BX9" s="15" t="s">
        <v>2303</v>
      </c>
      <c r="BY9" s="15" t="s">
        <v>44</v>
      </c>
      <c r="BZ9" s="15" t="s">
        <v>2317</v>
      </c>
      <c r="CA9" s="15" t="s">
        <v>191</v>
      </c>
      <c r="CB9" s="15" t="s">
        <v>2289</v>
      </c>
      <c r="CC9" s="15" t="s">
        <v>2303</v>
      </c>
      <c r="CD9" s="15" t="s">
        <v>44</v>
      </c>
      <c r="CE9" s="15" t="s">
        <v>2317</v>
      </c>
      <c r="CF9" s="15" t="s">
        <v>191</v>
      </c>
      <c r="CG9" s="15" t="s">
        <v>2289</v>
      </c>
      <c r="CH9" s="15" t="s">
        <v>2303</v>
      </c>
      <c r="CI9" s="15" t="s">
        <v>44</v>
      </c>
      <c r="CJ9" s="15" t="s">
        <v>2317</v>
      </c>
      <c r="CK9" s="200" t="s">
        <v>2320</v>
      </c>
      <c r="CL9" s="15" t="s">
        <v>2289</v>
      </c>
      <c r="CM9" s="15" t="s">
        <v>2303</v>
      </c>
      <c r="CN9" s="15" t="s">
        <v>44</v>
      </c>
      <c r="CO9" s="15" t="s">
        <v>2317</v>
      </c>
      <c r="CP9" s="200" t="s">
        <v>2320</v>
      </c>
      <c r="CQ9" s="15" t="s">
        <v>2289</v>
      </c>
      <c r="CR9" s="15" t="s">
        <v>2303</v>
      </c>
      <c r="CS9" s="15" t="s">
        <v>44</v>
      </c>
      <c r="CT9" s="15" t="s">
        <v>2317</v>
      </c>
      <c r="CU9" s="15" t="s">
        <v>2320</v>
      </c>
      <c r="CV9" s="15" t="s">
        <v>2289</v>
      </c>
      <c r="CW9" s="15" t="s">
        <v>2303</v>
      </c>
      <c r="CX9" s="15" t="s">
        <v>44</v>
      </c>
      <c r="CY9" s="15" t="s">
        <v>2317</v>
      </c>
      <c r="CZ9" s="5"/>
      <c r="DA9" s="15"/>
      <c r="DB9" s="15"/>
      <c r="DC9" s="15"/>
      <c r="DD9" s="15"/>
      <c r="DE9" s="15"/>
      <c r="DF9" s="15"/>
    </row>
    <row r="10" spans="1:110" ht="13.8" hidden="1" customHeight="1" outlineLevel="1">
      <c r="A10" s="159" t="s">
        <v>1039</v>
      </c>
      <c r="B10" s="159"/>
      <c r="C10" s="159"/>
      <c r="D10" s="159"/>
      <c r="E10" s="159"/>
      <c r="F10" s="159"/>
      <c r="G10" s="159"/>
      <c r="H10" s="159"/>
      <c r="I10" s="152"/>
      <c r="J10" s="152"/>
      <c r="K10" s="152"/>
      <c r="L10" s="152" t="s">
        <v>2078</v>
      </c>
      <c r="M10" s="152" t="s">
        <v>2083</v>
      </c>
      <c r="N10" s="152" t="s">
        <v>2063</v>
      </c>
      <c r="O10" s="152" t="s">
        <v>2051</v>
      </c>
      <c r="P10" s="152" t="s">
        <v>2051</v>
      </c>
      <c r="Q10" s="152"/>
      <c r="R10" s="152" t="s">
        <v>2087</v>
      </c>
      <c r="S10" s="152"/>
      <c r="T10" s="152"/>
      <c r="U10" s="152"/>
      <c r="V10" s="152"/>
      <c r="W10" s="152" t="s">
        <v>2098</v>
      </c>
      <c r="X10" s="152"/>
      <c r="Y10" s="152"/>
      <c r="Z10" s="152"/>
      <c r="AA10" s="152"/>
      <c r="AB10" s="152"/>
      <c r="AC10" s="152"/>
      <c r="AD10" s="152"/>
      <c r="AE10" s="15"/>
      <c r="AF10" s="15"/>
      <c r="AG10" s="15"/>
      <c r="AH10" s="15" t="s">
        <v>2215</v>
      </c>
      <c r="AI10" s="15" t="s">
        <v>2220</v>
      </c>
      <c r="AJ10" s="15"/>
      <c r="AK10" s="152"/>
      <c r="AL10" s="152"/>
      <c r="AM10" s="15"/>
      <c r="AN10" s="15"/>
      <c r="AO10" s="15"/>
      <c r="AP10" s="15"/>
      <c r="AQ10" s="15"/>
      <c r="AR10" s="152"/>
      <c r="AS10" s="15"/>
      <c r="AT10" s="15"/>
      <c r="AU10" s="15"/>
      <c r="AV10" s="15"/>
      <c r="AW10" s="15"/>
      <c r="AX10" s="15"/>
      <c r="AY10" s="15"/>
      <c r="AZ10" s="15"/>
      <c r="BA10" s="15"/>
      <c r="BB10" s="15"/>
      <c r="BC10" s="15" t="s">
        <v>2294</v>
      </c>
      <c r="BD10" s="15" t="s">
        <v>2294</v>
      </c>
      <c r="BE10" s="15" t="s">
        <v>2294</v>
      </c>
      <c r="BF10" s="15" t="s">
        <v>2295</v>
      </c>
      <c r="BG10" s="15" t="s">
        <v>2295</v>
      </c>
      <c r="BH10" s="15" t="s">
        <v>2295</v>
      </c>
      <c r="BI10" s="15" t="s">
        <v>2294</v>
      </c>
      <c r="BJ10" s="15"/>
      <c r="BK10" s="15"/>
      <c r="BL10" s="15"/>
      <c r="BM10" s="15"/>
      <c r="BN10" s="15"/>
      <c r="BO10" s="15"/>
      <c r="BP10" s="15"/>
      <c r="BQ10" s="15"/>
      <c r="BR10" s="15"/>
      <c r="BS10" s="15"/>
      <c r="BT10" s="15"/>
      <c r="BU10" s="15"/>
      <c r="BV10" s="15"/>
      <c r="BW10" s="15" t="s">
        <v>63</v>
      </c>
      <c r="BX10" s="15" t="s">
        <v>131</v>
      </c>
      <c r="BY10" s="15" t="s">
        <v>130</v>
      </c>
      <c r="BZ10" s="15" t="s">
        <v>183</v>
      </c>
      <c r="CA10" s="15"/>
      <c r="CB10" s="15" t="s">
        <v>63</v>
      </c>
      <c r="CC10" s="15" t="s">
        <v>131</v>
      </c>
      <c r="CD10" s="15" t="s">
        <v>130</v>
      </c>
      <c r="CE10" s="15" t="s">
        <v>183</v>
      </c>
      <c r="CF10" s="15"/>
      <c r="CG10" s="15" t="s">
        <v>63</v>
      </c>
      <c r="CH10" s="15" t="s">
        <v>131</v>
      </c>
      <c r="CI10" s="15" t="s">
        <v>130</v>
      </c>
      <c r="CJ10" s="15" t="s">
        <v>183</v>
      </c>
      <c r="CK10" s="200" t="s">
        <v>706</v>
      </c>
      <c r="CL10" s="15" t="s">
        <v>63</v>
      </c>
      <c r="CM10" s="15" t="s">
        <v>131</v>
      </c>
      <c r="CN10" s="15" t="s">
        <v>130</v>
      </c>
      <c r="CO10" s="15" t="s">
        <v>183</v>
      </c>
      <c r="CP10" s="200" t="s">
        <v>706</v>
      </c>
      <c r="CQ10" s="15" t="s">
        <v>63</v>
      </c>
      <c r="CR10" s="15" t="s">
        <v>131</v>
      </c>
      <c r="CS10" s="15" t="s">
        <v>130</v>
      </c>
      <c r="CT10" s="15" t="s">
        <v>183</v>
      </c>
      <c r="CU10" s="15" t="s">
        <v>706</v>
      </c>
      <c r="CV10" s="15" t="s">
        <v>63</v>
      </c>
      <c r="CW10" s="15" t="s">
        <v>131</v>
      </c>
      <c r="CX10" s="15" t="s">
        <v>130</v>
      </c>
      <c r="CY10" s="15" t="s">
        <v>183</v>
      </c>
      <c r="CZ10" s="5"/>
      <c r="DA10" s="15"/>
      <c r="DB10" s="15"/>
      <c r="DC10" s="15"/>
      <c r="DD10" s="15"/>
      <c r="DE10" s="15"/>
      <c r="DF10" s="15"/>
    </row>
    <row r="11" spans="1:110" ht="10.199999999999999" customHeight="1" collapsed="1">
      <c r="A11" s="160" t="s">
        <v>1266</v>
      </c>
      <c r="B11" s="160"/>
      <c r="C11" s="160"/>
      <c r="D11" s="160"/>
      <c r="E11" s="160"/>
      <c r="F11" s="160"/>
      <c r="G11" s="160"/>
      <c r="H11" s="160"/>
      <c r="I11" s="160"/>
      <c r="J11" s="160"/>
      <c r="K11" s="160"/>
      <c r="L11" s="162"/>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5"/>
      <c r="DA11" s="153"/>
      <c r="DB11" s="153"/>
      <c r="DC11" s="153"/>
      <c r="DD11" s="153"/>
      <c r="DE11" s="153"/>
      <c r="DF11" s="153"/>
    </row>
    <row r="12" spans="1:110" ht="13.8" hidden="1" customHeight="1" outlineLevel="1">
      <c r="A12" s="160" t="s">
        <v>1266</v>
      </c>
      <c r="B12" s="160"/>
      <c r="C12" s="160"/>
      <c r="D12" s="160"/>
      <c r="E12" s="160"/>
      <c r="F12" s="160"/>
      <c r="G12" s="160"/>
      <c r="H12" s="160"/>
      <c r="I12" s="160"/>
      <c r="J12" s="160"/>
      <c r="K12" s="160"/>
      <c r="L12" s="162"/>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5"/>
      <c r="DA12" s="153"/>
      <c r="DB12" s="153"/>
      <c r="DC12" s="153"/>
      <c r="DD12" s="153"/>
      <c r="DE12" s="153"/>
      <c r="DF12" s="153"/>
    </row>
    <row r="13" spans="1:110" ht="13.8" hidden="1" customHeight="1" outlineLevel="1">
      <c r="A13" s="160" t="s">
        <v>1266</v>
      </c>
      <c r="B13" s="160"/>
      <c r="C13" s="160"/>
      <c r="D13" s="160"/>
      <c r="E13" s="160"/>
      <c r="F13" s="160"/>
      <c r="G13" s="160"/>
      <c r="H13" s="160"/>
      <c r="I13" s="160"/>
      <c r="J13" s="160"/>
      <c r="K13" s="160"/>
      <c r="L13" s="162"/>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5"/>
      <c r="DA13" s="153"/>
      <c r="DB13" s="153"/>
      <c r="DC13" s="153"/>
      <c r="DD13" s="153"/>
      <c r="DE13" s="153"/>
      <c r="DF13" s="153"/>
    </row>
    <row r="14" spans="1:110" ht="1.8" hidden="1" customHeight="1" outlineLevel="1">
      <c r="A14" s="160" t="s">
        <v>1266</v>
      </c>
      <c r="B14" s="160"/>
      <c r="C14" s="160"/>
      <c r="D14" s="160"/>
      <c r="E14" s="160"/>
      <c r="F14" s="160"/>
      <c r="G14" s="160"/>
      <c r="H14" s="160"/>
      <c r="I14" s="160"/>
      <c r="J14" s="160"/>
      <c r="K14" s="160"/>
      <c r="L14" s="162"/>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5"/>
      <c r="DA14" s="153"/>
      <c r="DB14" s="153"/>
      <c r="DC14" s="153"/>
      <c r="DD14" s="153"/>
      <c r="DE14" s="153"/>
      <c r="DF14" s="153"/>
    </row>
    <row r="15" spans="1:110" ht="1.8" hidden="1" customHeight="1" outlineLevel="1">
      <c r="A15" s="160" t="s">
        <v>1266</v>
      </c>
      <c r="B15" s="160"/>
      <c r="C15" s="160"/>
      <c r="D15" s="160"/>
      <c r="E15" s="160"/>
      <c r="F15" s="160"/>
      <c r="G15" s="160"/>
      <c r="H15" s="160"/>
      <c r="I15" s="160"/>
      <c r="J15" s="160"/>
      <c r="K15" s="160"/>
      <c r="L15" s="162"/>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5"/>
      <c r="DA15" s="153"/>
      <c r="DB15" s="153"/>
      <c r="DC15" s="153"/>
      <c r="DD15" s="153"/>
      <c r="DE15" s="153"/>
      <c r="DF15" s="153"/>
    </row>
    <row r="16" spans="1:110" ht="1.8" hidden="1" customHeight="1" outlineLevel="1">
      <c r="A16" s="160" t="s">
        <v>1266</v>
      </c>
      <c r="B16" s="160"/>
      <c r="C16" s="160"/>
      <c r="D16" s="160"/>
      <c r="E16" s="160"/>
      <c r="F16" s="160"/>
      <c r="G16" s="160"/>
      <c r="H16" s="160"/>
      <c r="I16" s="160"/>
      <c r="J16" s="160"/>
      <c r="K16" s="160"/>
      <c r="L16" s="162"/>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5"/>
      <c r="DA16" s="153"/>
      <c r="DB16" s="153"/>
      <c r="DC16" s="153"/>
      <c r="DD16" s="153"/>
      <c r="DE16" s="153"/>
      <c r="DF16" s="153"/>
    </row>
    <row r="17" spans="1:110" ht="1.8" hidden="1" customHeight="1" outlineLevel="1">
      <c r="A17" s="160" t="s">
        <v>1266</v>
      </c>
      <c r="B17" s="160"/>
      <c r="C17" s="160"/>
      <c r="D17" s="160"/>
      <c r="E17" s="160"/>
      <c r="F17" s="160"/>
      <c r="G17" s="160"/>
      <c r="H17" s="160"/>
      <c r="I17" s="160"/>
      <c r="J17" s="160"/>
      <c r="K17" s="160"/>
      <c r="L17" s="162"/>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5"/>
      <c r="DA17" s="153"/>
      <c r="DB17" s="153"/>
      <c r="DC17" s="153"/>
      <c r="DD17" s="153"/>
      <c r="DE17" s="153"/>
      <c r="DF17" s="153"/>
    </row>
    <row r="18" spans="1:110" ht="1.8" hidden="1" customHeight="1" outlineLevel="1">
      <c r="A18" s="160" t="s">
        <v>1266</v>
      </c>
      <c r="B18" s="160"/>
      <c r="C18" s="160"/>
      <c r="D18" s="160"/>
      <c r="E18" s="160"/>
      <c r="F18" s="160"/>
      <c r="G18" s="160"/>
      <c r="H18" s="160"/>
      <c r="I18" s="160"/>
      <c r="J18" s="160"/>
      <c r="K18" s="160"/>
      <c r="L18" s="162"/>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5"/>
      <c r="DA18" s="153"/>
      <c r="DB18" s="153"/>
      <c r="DC18" s="153"/>
      <c r="DD18" s="153"/>
      <c r="DE18" s="153"/>
      <c r="DF18" s="153"/>
    </row>
    <row r="19" spans="1:110" ht="1.8" hidden="1" customHeight="1" outlineLevel="1">
      <c r="A19" s="160" t="s">
        <v>1266</v>
      </c>
      <c r="B19" s="160"/>
      <c r="C19" s="160"/>
      <c r="D19" s="160"/>
      <c r="E19" s="160"/>
      <c r="F19" s="160"/>
      <c r="G19" s="160"/>
      <c r="H19" s="160"/>
      <c r="I19" s="160"/>
      <c r="J19" s="160"/>
      <c r="K19" s="160"/>
      <c r="L19" s="162"/>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5"/>
      <c r="DA19" s="153"/>
      <c r="DB19" s="153"/>
      <c r="DC19" s="153"/>
      <c r="DD19" s="153"/>
      <c r="DE19" s="153"/>
      <c r="DF19" s="153"/>
    </row>
    <row r="20" spans="1:110" ht="1.8" hidden="1" customHeight="1" outlineLevel="1">
      <c r="A20" s="160" t="s">
        <v>1266</v>
      </c>
      <c r="B20" s="160"/>
      <c r="C20" s="160"/>
      <c r="D20" s="160"/>
      <c r="E20" s="160"/>
      <c r="F20" s="160"/>
      <c r="G20" s="160"/>
      <c r="H20" s="160"/>
      <c r="I20" s="160"/>
      <c r="J20" s="160"/>
      <c r="K20" s="160"/>
      <c r="L20" s="162"/>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5"/>
      <c r="DA20" s="153"/>
      <c r="DB20" s="153"/>
      <c r="DC20" s="153"/>
      <c r="DD20" s="153"/>
      <c r="DE20" s="153"/>
      <c r="DF20" s="153"/>
    </row>
    <row r="21" spans="1:110" ht="1.8" hidden="1" customHeight="1" outlineLevel="1">
      <c r="A21" s="160" t="s">
        <v>1266</v>
      </c>
      <c r="B21" s="160"/>
      <c r="C21" s="160"/>
      <c r="D21" s="160"/>
      <c r="E21" s="160"/>
      <c r="F21" s="160"/>
      <c r="G21" s="160"/>
      <c r="H21" s="160"/>
      <c r="I21" s="160"/>
      <c r="J21" s="160"/>
      <c r="K21" s="160"/>
      <c r="L21" s="162"/>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5"/>
      <c r="DA21" s="153"/>
      <c r="DB21" s="153"/>
      <c r="DC21" s="153"/>
      <c r="DD21" s="153"/>
      <c r="DE21" s="153"/>
      <c r="DF21" s="153"/>
    </row>
    <row r="22" spans="1:110" ht="1.8" hidden="1" customHeight="1" outlineLevel="1">
      <c r="A22" s="160" t="s">
        <v>1266</v>
      </c>
      <c r="B22" s="160"/>
      <c r="C22" s="160"/>
      <c r="D22" s="160"/>
      <c r="E22" s="160"/>
      <c r="F22" s="160"/>
      <c r="G22" s="160"/>
      <c r="H22" s="160"/>
      <c r="I22" s="160"/>
      <c r="J22" s="160"/>
      <c r="K22" s="160"/>
      <c r="L22" s="162"/>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5"/>
      <c r="DA22" s="153"/>
      <c r="DB22" s="153"/>
      <c r="DC22" s="153"/>
      <c r="DD22" s="153"/>
      <c r="DE22" s="153"/>
      <c r="DF22" s="153"/>
    </row>
    <row r="23" spans="1:110" ht="1.8" hidden="1" customHeight="1" outlineLevel="1">
      <c r="A23" s="160" t="s">
        <v>1266</v>
      </c>
      <c r="B23" s="160"/>
      <c r="C23" s="160"/>
      <c r="D23" s="160"/>
      <c r="E23" s="160"/>
      <c r="F23" s="160"/>
      <c r="G23" s="160"/>
      <c r="H23" s="160"/>
      <c r="I23" s="160"/>
      <c r="J23" s="160"/>
      <c r="K23" s="160"/>
      <c r="L23" s="162"/>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5"/>
      <c r="DA23" s="153"/>
      <c r="DB23" s="153"/>
      <c r="DC23" s="153"/>
      <c r="DD23" s="153"/>
      <c r="DE23" s="153"/>
      <c r="DF23" s="153"/>
    </row>
    <row r="24" spans="1:110" ht="1.8" hidden="1" customHeight="1" outlineLevel="1">
      <c r="A24" s="160" t="s">
        <v>1266</v>
      </c>
      <c r="B24" s="160"/>
      <c r="C24" s="160"/>
      <c r="D24" s="160"/>
      <c r="E24" s="160"/>
      <c r="F24" s="160"/>
      <c r="G24" s="160"/>
      <c r="H24" s="160"/>
      <c r="I24" s="160"/>
      <c r="J24" s="160"/>
      <c r="K24" s="160"/>
      <c r="L24" s="162"/>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5"/>
      <c r="DA24" s="153"/>
      <c r="DB24" s="153"/>
      <c r="DC24" s="153"/>
      <c r="DD24" s="153"/>
      <c r="DE24" s="153"/>
      <c r="DF24" s="153"/>
    </row>
    <row r="25" spans="1:110" ht="1.8" hidden="1" customHeight="1" outlineLevel="1">
      <c r="A25" s="160" t="s">
        <v>1266</v>
      </c>
      <c r="B25" s="160"/>
      <c r="C25" s="160"/>
      <c r="D25" s="160"/>
      <c r="E25" s="160"/>
      <c r="F25" s="160"/>
      <c r="G25" s="160"/>
      <c r="H25" s="160"/>
      <c r="I25" s="160"/>
      <c r="J25" s="160"/>
      <c r="K25" s="160"/>
      <c r="L25" s="162"/>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5"/>
      <c r="DA25" s="153"/>
      <c r="DB25" s="153"/>
      <c r="DC25" s="153"/>
      <c r="DD25" s="153"/>
      <c r="DE25" s="153"/>
      <c r="DF25" s="153"/>
    </row>
    <row r="26" spans="1:110" ht="1.8" hidden="1" customHeight="1" outlineLevel="1">
      <c r="A26" s="160" t="s">
        <v>1266</v>
      </c>
      <c r="B26" s="160"/>
      <c r="C26" s="160"/>
      <c r="D26" s="160"/>
      <c r="E26" s="160"/>
      <c r="F26" s="160"/>
      <c r="G26" s="160"/>
      <c r="H26" s="160"/>
      <c r="I26" s="160"/>
      <c r="J26" s="160"/>
      <c r="K26" s="160"/>
      <c r="L26" s="162"/>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5"/>
      <c r="DA26" s="153"/>
      <c r="DB26" s="153"/>
      <c r="DC26" s="153"/>
      <c r="DD26" s="153"/>
      <c r="DE26" s="153"/>
      <c r="DF26" s="153"/>
    </row>
    <row r="27" spans="1:110" ht="1.8" hidden="1" customHeight="1" outlineLevel="1">
      <c r="A27" s="160" t="s">
        <v>1266</v>
      </c>
      <c r="B27" s="160"/>
      <c r="C27" s="160"/>
      <c r="D27" s="160"/>
      <c r="E27" s="160"/>
      <c r="F27" s="160"/>
      <c r="G27" s="160"/>
      <c r="H27" s="160"/>
      <c r="I27" s="160"/>
      <c r="J27" s="160"/>
      <c r="K27" s="160"/>
      <c r="L27" s="162"/>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5"/>
      <c r="DA27" s="153"/>
      <c r="DB27" s="153"/>
      <c r="DC27" s="153"/>
      <c r="DD27" s="153"/>
      <c r="DE27" s="153"/>
      <c r="DF27" s="153"/>
    </row>
    <row r="28" spans="1:110" ht="1.8" hidden="1" customHeight="1" outlineLevel="1">
      <c r="A28" s="160" t="s">
        <v>1266</v>
      </c>
      <c r="B28" s="160"/>
      <c r="C28" s="160"/>
      <c r="D28" s="160"/>
      <c r="E28" s="160"/>
      <c r="F28" s="160"/>
      <c r="G28" s="160"/>
      <c r="H28" s="160"/>
      <c r="I28" s="160"/>
      <c r="J28" s="160"/>
      <c r="K28" s="160"/>
      <c r="L28" s="162"/>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5"/>
      <c r="DA28" s="153"/>
      <c r="DB28" s="153"/>
      <c r="DC28" s="153"/>
      <c r="DD28" s="153"/>
      <c r="DE28" s="153"/>
      <c r="DF28" s="153"/>
    </row>
    <row r="29" spans="1:110" ht="1.8" hidden="1" customHeight="1" outlineLevel="1">
      <c r="A29" s="160" t="s">
        <v>1266</v>
      </c>
      <c r="B29" s="160"/>
      <c r="C29" s="160"/>
      <c r="D29" s="160"/>
      <c r="E29" s="160"/>
      <c r="F29" s="160"/>
      <c r="G29" s="160"/>
      <c r="H29" s="160"/>
      <c r="I29" s="160"/>
      <c r="J29" s="160"/>
      <c r="K29" s="160"/>
      <c r="L29" s="162"/>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5"/>
      <c r="DA29" s="153"/>
      <c r="DB29" s="153"/>
      <c r="DC29" s="153"/>
      <c r="DD29" s="153"/>
      <c r="DE29" s="153"/>
      <c r="DF29" s="153"/>
    </row>
    <row r="30" spans="1:110" ht="1.8" hidden="1" customHeight="1" outlineLevel="1">
      <c r="A30" s="160" t="s">
        <v>1266</v>
      </c>
      <c r="B30" s="160"/>
      <c r="C30" s="160"/>
      <c r="D30" s="160"/>
      <c r="E30" s="160"/>
      <c r="F30" s="160"/>
      <c r="G30" s="160"/>
      <c r="H30" s="160"/>
      <c r="I30" s="160"/>
      <c r="J30" s="160"/>
      <c r="K30" s="160"/>
      <c r="L30" s="162"/>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5"/>
      <c r="DA30" s="153"/>
      <c r="DB30" s="153"/>
      <c r="DC30" s="153"/>
      <c r="DD30" s="153"/>
      <c r="DE30" s="153"/>
      <c r="DF30" s="153"/>
    </row>
    <row r="31" spans="1:110" ht="1.8" hidden="1" customHeight="1" outlineLevel="1">
      <c r="A31" s="160" t="s">
        <v>1266</v>
      </c>
      <c r="B31" s="160"/>
      <c r="C31" s="160"/>
      <c r="D31" s="160"/>
      <c r="E31" s="160"/>
      <c r="F31" s="160"/>
      <c r="G31" s="160"/>
      <c r="H31" s="160"/>
      <c r="I31" s="160"/>
      <c r="J31" s="160"/>
      <c r="K31" s="160"/>
      <c r="L31" s="162"/>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5"/>
      <c r="DA31" s="153"/>
      <c r="DB31" s="153"/>
      <c r="DC31" s="153"/>
      <c r="DD31" s="153"/>
      <c r="DE31" s="153"/>
      <c r="DF31" s="153"/>
    </row>
    <row r="32" spans="1:110" ht="1.8" hidden="1" customHeight="1" outlineLevel="1">
      <c r="A32" s="160" t="s">
        <v>1266</v>
      </c>
      <c r="B32" s="160"/>
      <c r="C32" s="160"/>
      <c r="D32" s="160"/>
      <c r="E32" s="160"/>
      <c r="F32" s="160"/>
      <c r="G32" s="160"/>
      <c r="H32" s="160"/>
      <c r="I32" s="160"/>
      <c r="J32" s="160"/>
      <c r="K32" s="160"/>
      <c r="L32" s="162"/>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5"/>
      <c r="DA32" s="153"/>
      <c r="DB32" s="153"/>
      <c r="DC32" s="153"/>
      <c r="DD32" s="153"/>
      <c r="DE32" s="153"/>
      <c r="DF32" s="153"/>
    </row>
    <row r="33" spans="1:110" ht="1.8" hidden="1" customHeight="1" outlineLevel="1">
      <c r="A33" s="160" t="s">
        <v>1266</v>
      </c>
      <c r="B33" s="160"/>
      <c r="C33" s="160"/>
      <c r="D33" s="160"/>
      <c r="E33" s="160"/>
      <c r="F33" s="160"/>
      <c r="G33" s="160"/>
      <c r="H33" s="160"/>
      <c r="I33" s="160"/>
      <c r="J33" s="160"/>
      <c r="K33" s="160"/>
      <c r="L33" s="162"/>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5"/>
      <c r="DA33" s="153"/>
      <c r="DB33" s="153"/>
      <c r="DC33" s="153"/>
      <c r="DD33" s="153"/>
      <c r="DE33" s="153"/>
      <c r="DF33" s="153"/>
    </row>
    <row r="34" spans="1:110" ht="1.8" hidden="1" customHeight="1" outlineLevel="1">
      <c r="A34" s="160" t="s">
        <v>1266</v>
      </c>
      <c r="B34" s="160"/>
      <c r="C34" s="160"/>
      <c r="D34" s="160"/>
      <c r="E34" s="160"/>
      <c r="F34" s="160"/>
      <c r="G34" s="160"/>
      <c r="H34" s="160"/>
      <c r="I34" s="160"/>
      <c r="J34" s="160"/>
      <c r="K34" s="160"/>
      <c r="L34" s="16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5"/>
      <c r="DA34" s="153"/>
      <c r="DB34" s="153"/>
      <c r="DC34" s="153"/>
      <c r="DD34" s="153"/>
      <c r="DE34" s="153"/>
      <c r="DF34" s="153"/>
    </row>
    <row r="35" spans="1:110" ht="1.8" hidden="1" customHeight="1" outlineLevel="1">
      <c r="A35" s="160" t="s">
        <v>1266</v>
      </c>
      <c r="B35" s="160"/>
      <c r="C35" s="160"/>
      <c r="D35" s="160"/>
      <c r="E35" s="160"/>
      <c r="F35" s="160"/>
      <c r="G35" s="160"/>
      <c r="H35" s="160"/>
      <c r="I35" s="160"/>
      <c r="J35" s="160"/>
      <c r="K35" s="160"/>
      <c r="L35" s="16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5"/>
      <c r="DA35" s="153"/>
      <c r="DB35" s="153"/>
      <c r="DC35" s="153"/>
      <c r="DD35" s="153"/>
      <c r="DE35" s="153"/>
      <c r="DF35" s="153"/>
    </row>
    <row r="36" spans="1:110" ht="1.8" hidden="1" customHeight="1" outlineLevel="1">
      <c r="A36" s="160" t="s">
        <v>1266</v>
      </c>
      <c r="B36" s="160"/>
      <c r="C36" s="160"/>
      <c r="D36" s="160"/>
      <c r="E36" s="160"/>
      <c r="F36" s="160"/>
      <c r="G36" s="160"/>
      <c r="H36" s="160"/>
      <c r="I36" s="160"/>
      <c r="J36" s="160"/>
      <c r="K36" s="160"/>
      <c r="L36" s="162"/>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5"/>
      <c r="DA36" s="153"/>
      <c r="DB36" s="153"/>
      <c r="DC36" s="153"/>
      <c r="DD36" s="153"/>
      <c r="DE36" s="153"/>
      <c r="DF36" s="153"/>
    </row>
    <row r="37" spans="1:110" ht="1.8" hidden="1" customHeight="1" outlineLevel="1">
      <c r="A37" s="160" t="s">
        <v>1266</v>
      </c>
      <c r="B37" s="160"/>
      <c r="C37" s="160"/>
      <c r="D37" s="160"/>
      <c r="E37" s="160"/>
      <c r="F37" s="160"/>
      <c r="G37" s="160"/>
      <c r="H37" s="160"/>
      <c r="I37" s="160"/>
      <c r="J37" s="160"/>
      <c r="K37" s="160"/>
      <c r="L37" s="162"/>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5"/>
      <c r="DA37" s="153"/>
      <c r="DB37" s="153"/>
      <c r="DC37" s="153"/>
      <c r="DD37" s="153"/>
      <c r="DE37" s="153"/>
      <c r="DF37" s="153"/>
    </row>
    <row r="38" spans="1:110" ht="1.8" hidden="1" customHeight="1" outlineLevel="1">
      <c r="A38" s="160" t="s">
        <v>1266</v>
      </c>
      <c r="B38" s="160"/>
      <c r="C38" s="160"/>
      <c r="D38" s="160"/>
      <c r="E38" s="160"/>
      <c r="F38" s="160"/>
      <c r="G38" s="160"/>
      <c r="H38" s="160"/>
      <c r="I38" s="160"/>
      <c r="J38" s="160"/>
      <c r="K38" s="160"/>
      <c r="L38" s="162"/>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153"/>
      <c r="CX38" s="153"/>
      <c r="CY38" s="153"/>
      <c r="CZ38" s="5"/>
      <c r="DA38" s="153"/>
      <c r="DB38" s="153"/>
      <c r="DC38" s="153"/>
      <c r="DD38" s="153"/>
      <c r="DE38" s="153"/>
      <c r="DF38" s="153"/>
    </row>
    <row r="39" spans="1:110" ht="1.8" hidden="1" customHeight="1" outlineLevel="1">
      <c r="A39" s="160" t="s">
        <v>1266</v>
      </c>
      <c r="B39" s="160"/>
      <c r="C39" s="160"/>
      <c r="D39" s="160"/>
      <c r="E39" s="160"/>
      <c r="F39" s="160"/>
      <c r="G39" s="160"/>
      <c r="H39" s="160"/>
      <c r="I39" s="160"/>
      <c r="J39" s="160"/>
      <c r="K39" s="160"/>
      <c r="L39" s="162"/>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5"/>
      <c r="DA39" s="153"/>
      <c r="DB39" s="153"/>
      <c r="DC39" s="153"/>
      <c r="DD39" s="153"/>
      <c r="DE39" s="153"/>
      <c r="DF39" s="153"/>
    </row>
    <row r="40" spans="1:110" ht="1.8" hidden="1" customHeight="1" outlineLevel="1">
      <c r="A40" s="160" t="s">
        <v>1266</v>
      </c>
      <c r="B40" s="160"/>
      <c r="C40" s="160"/>
      <c r="D40" s="160"/>
      <c r="E40" s="160"/>
      <c r="F40" s="160"/>
      <c r="G40" s="160"/>
      <c r="H40" s="160"/>
      <c r="I40" s="160"/>
      <c r="J40" s="160"/>
      <c r="K40" s="160"/>
      <c r="L40" s="162"/>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5"/>
      <c r="DA40" s="153"/>
      <c r="DB40" s="153"/>
      <c r="DC40" s="153"/>
      <c r="DD40" s="153"/>
      <c r="DE40" s="153"/>
      <c r="DF40" s="153"/>
    </row>
    <row r="41" spans="1:110" ht="1.8" hidden="1" customHeight="1" outlineLevel="1">
      <c r="A41" s="160" t="s">
        <v>1266</v>
      </c>
      <c r="B41" s="160"/>
      <c r="C41" s="160"/>
      <c r="D41" s="160"/>
      <c r="E41" s="160"/>
      <c r="F41" s="160"/>
      <c r="G41" s="160"/>
      <c r="H41" s="160"/>
      <c r="I41" s="160"/>
      <c r="J41" s="160"/>
      <c r="K41" s="160"/>
      <c r="L41" s="162"/>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5"/>
      <c r="DA41" s="153"/>
      <c r="DB41" s="153"/>
      <c r="DC41" s="153"/>
      <c r="DD41" s="153"/>
      <c r="DE41" s="153"/>
      <c r="DF41" s="153"/>
    </row>
    <row r="42" spans="1:110" ht="1.8" hidden="1" customHeight="1" outlineLevel="1">
      <c r="A42" s="160" t="s">
        <v>1266</v>
      </c>
      <c r="B42" s="160"/>
      <c r="C42" s="160"/>
      <c r="D42" s="160"/>
      <c r="E42" s="160"/>
      <c r="F42" s="160"/>
      <c r="G42" s="160"/>
      <c r="H42" s="160"/>
      <c r="I42" s="160"/>
      <c r="J42" s="160"/>
      <c r="K42" s="160"/>
      <c r="L42" s="162"/>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5"/>
      <c r="DA42" s="153"/>
      <c r="DB42" s="153"/>
      <c r="DC42" s="153"/>
      <c r="DD42" s="153"/>
      <c r="DE42" s="153"/>
      <c r="DF42" s="153"/>
    </row>
    <row r="43" spans="1:110" ht="1.8" hidden="1" customHeight="1" outlineLevel="1">
      <c r="A43" s="160" t="s">
        <v>1266</v>
      </c>
      <c r="B43" s="160"/>
      <c r="C43" s="160"/>
      <c r="D43" s="160"/>
      <c r="E43" s="160"/>
      <c r="F43" s="160"/>
      <c r="G43" s="160"/>
      <c r="H43" s="160"/>
      <c r="I43" s="160"/>
      <c r="J43" s="160"/>
      <c r="K43" s="160"/>
      <c r="L43" s="162"/>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5"/>
      <c r="DA43" s="153"/>
      <c r="DB43" s="153"/>
      <c r="DC43" s="153"/>
      <c r="DD43" s="153"/>
      <c r="DE43" s="153"/>
      <c r="DF43" s="153"/>
    </row>
    <row r="44" spans="1:110" ht="1.8" hidden="1" customHeight="1" outlineLevel="1">
      <c r="A44" s="160" t="s">
        <v>1266</v>
      </c>
      <c r="B44" s="160"/>
      <c r="C44" s="160"/>
      <c r="D44" s="160"/>
      <c r="E44" s="160"/>
      <c r="F44" s="160"/>
      <c r="G44" s="160"/>
      <c r="H44" s="160"/>
      <c r="I44" s="160"/>
      <c r="J44" s="160"/>
      <c r="K44" s="160"/>
      <c r="L44" s="162"/>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c r="CZ44" s="5"/>
      <c r="DA44" s="153"/>
      <c r="DB44" s="153"/>
      <c r="DC44" s="153"/>
      <c r="DD44" s="153"/>
      <c r="DE44" s="153"/>
      <c r="DF44" s="153"/>
    </row>
    <row r="45" spans="1:110" ht="1.8" hidden="1" customHeight="1" outlineLevel="1">
      <c r="A45" s="160" t="s">
        <v>1266</v>
      </c>
      <c r="B45" s="160"/>
      <c r="C45" s="160"/>
      <c r="D45" s="160"/>
      <c r="E45" s="160"/>
      <c r="F45" s="160"/>
      <c r="G45" s="160"/>
      <c r="H45" s="160"/>
      <c r="I45" s="160"/>
      <c r="J45" s="160"/>
      <c r="K45" s="160"/>
      <c r="L45" s="162"/>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5"/>
      <c r="DA45" s="153"/>
      <c r="DB45" s="153"/>
      <c r="DC45" s="153"/>
      <c r="DD45" s="153"/>
      <c r="DE45" s="153"/>
      <c r="DF45" s="153"/>
    </row>
    <row r="46" spans="1:110" ht="1.8" hidden="1" customHeight="1" outlineLevel="1">
      <c r="A46" s="160" t="s">
        <v>1266</v>
      </c>
      <c r="B46" s="160"/>
      <c r="C46" s="160"/>
      <c r="D46" s="160"/>
      <c r="E46" s="160"/>
      <c r="F46" s="160"/>
      <c r="G46" s="160"/>
      <c r="H46" s="160"/>
      <c r="I46" s="160"/>
      <c r="J46" s="160"/>
      <c r="K46" s="160"/>
      <c r="L46" s="162"/>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153"/>
      <c r="CS46" s="153"/>
      <c r="CT46" s="153"/>
      <c r="CU46" s="153"/>
      <c r="CV46" s="153"/>
      <c r="CW46" s="153"/>
      <c r="CX46" s="153"/>
      <c r="CY46" s="153"/>
      <c r="CZ46" s="5"/>
      <c r="DA46" s="153"/>
      <c r="DB46" s="153"/>
      <c r="DC46" s="153"/>
      <c r="DD46" s="153"/>
      <c r="DE46" s="153"/>
      <c r="DF46" s="153"/>
    </row>
    <row r="47" spans="1:110" ht="1.8" hidden="1" customHeight="1" outlineLevel="1">
      <c r="A47" s="160" t="s">
        <v>1266</v>
      </c>
      <c r="B47" s="160"/>
      <c r="C47" s="160"/>
      <c r="D47" s="160"/>
      <c r="E47" s="160"/>
      <c r="F47" s="160"/>
      <c r="G47" s="160"/>
      <c r="H47" s="160"/>
      <c r="I47" s="160"/>
      <c r="J47" s="160"/>
      <c r="K47" s="160"/>
      <c r="L47" s="162"/>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5"/>
      <c r="DA47" s="153"/>
      <c r="DB47" s="153"/>
      <c r="DC47" s="153"/>
      <c r="DD47" s="153"/>
      <c r="DE47" s="153"/>
      <c r="DF47" s="153"/>
    </row>
    <row r="48" spans="1:110" ht="1.8" hidden="1" customHeight="1" outlineLevel="1">
      <c r="A48" s="160" t="s">
        <v>1266</v>
      </c>
      <c r="B48" s="160"/>
      <c r="C48" s="160"/>
      <c r="D48" s="160"/>
      <c r="E48" s="160"/>
      <c r="F48" s="160"/>
      <c r="G48" s="160"/>
      <c r="H48" s="160"/>
      <c r="I48" s="160"/>
      <c r="J48" s="160"/>
      <c r="K48" s="160"/>
      <c r="L48" s="162"/>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5"/>
      <c r="DA48" s="153"/>
      <c r="DB48" s="153"/>
      <c r="DC48" s="153"/>
      <c r="DD48" s="153"/>
      <c r="DE48" s="153"/>
      <c r="DF48" s="153"/>
    </row>
    <row r="49" spans="1:110" ht="1.8" hidden="1" customHeight="1" outlineLevel="1">
      <c r="A49" s="160" t="s">
        <v>1266</v>
      </c>
      <c r="B49" s="160"/>
      <c r="C49" s="160"/>
      <c r="D49" s="160"/>
      <c r="E49" s="160"/>
      <c r="F49" s="160"/>
      <c r="G49" s="160"/>
      <c r="H49" s="160"/>
      <c r="I49" s="160"/>
      <c r="J49" s="160"/>
      <c r="K49" s="160"/>
      <c r="L49" s="162"/>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5"/>
      <c r="DA49" s="153"/>
      <c r="DB49" s="153"/>
      <c r="DC49" s="153"/>
      <c r="DD49" s="153"/>
      <c r="DE49" s="153"/>
      <c r="DF49" s="153"/>
    </row>
    <row r="50" spans="1:110" ht="1.8" hidden="1" customHeight="1" outlineLevel="1">
      <c r="A50" s="160" t="s">
        <v>1266</v>
      </c>
      <c r="B50" s="160"/>
      <c r="C50" s="160"/>
      <c r="D50" s="160"/>
      <c r="E50" s="160"/>
      <c r="F50" s="160"/>
      <c r="G50" s="160"/>
      <c r="H50" s="160"/>
      <c r="I50" s="160"/>
      <c r="J50" s="160"/>
      <c r="K50" s="160"/>
      <c r="L50" s="162"/>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153"/>
      <c r="CS50" s="153"/>
      <c r="CT50" s="153"/>
      <c r="CU50" s="153"/>
      <c r="CV50" s="153"/>
      <c r="CW50" s="153"/>
      <c r="CX50" s="153"/>
      <c r="CY50" s="153"/>
      <c r="CZ50" s="5"/>
      <c r="DA50" s="153"/>
      <c r="DB50" s="153"/>
      <c r="DC50" s="153"/>
      <c r="DD50" s="153"/>
      <c r="DE50" s="153"/>
      <c r="DF50" s="153"/>
    </row>
    <row r="51" spans="1:110" ht="1.8" hidden="1" customHeight="1" outlineLevel="1">
      <c r="A51" s="160" t="s">
        <v>1266</v>
      </c>
      <c r="B51" s="160"/>
      <c r="C51" s="160"/>
      <c r="D51" s="160"/>
      <c r="E51" s="160"/>
      <c r="F51" s="160"/>
      <c r="G51" s="160"/>
      <c r="H51" s="160"/>
      <c r="I51" s="160"/>
      <c r="J51" s="160"/>
      <c r="K51" s="160"/>
      <c r="L51" s="162"/>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5"/>
      <c r="DA51" s="153"/>
      <c r="DB51" s="153"/>
      <c r="DC51" s="153"/>
      <c r="DD51" s="153"/>
      <c r="DE51" s="153"/>
      <c r="DF51" s="153"/>
    </row>
    <row r="52" spans="1:110" ht="1.8" hidden="1" customHeight="1" outlineLevel="1">
      <c r="A52" s="160" t="s">
        <v>1266</v>
      </c>
      <c r="B52" s="160"/>
      <c r="C52" s="160"/>
      <c r="D52" s="160"/>
      <c r="E52" s="160"/>
      <c r="F52" s="160"/>
      <c r="G52" s="160"/>
      <c r="H52" s="160"/>
      <c r="I52" s="160"/>
      <c r="J52" s="160"/>
      <c r="K52" s="160"/>
      <c r="L52" s="162"/>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3"/>
      <c r="BV52" s="153"/>
      <c r="BW52" s="153"/>
      <c r="BX52" s="153"/>
      <c r="BY52" s="153"/>
      <c r="BZ52" s="153"/>
      <c r="CA52" s="153"/>
      <c r="CB52" s="153"/>
      <c r="CC52" s="153"/>
      <c r="CD52" s="153"/>
      <c r="CE52" s="153"/>
      <c r="CF52" s="153"/>
      <c r="CG52" s="153"/>
      <c r="CH52" s="153"/>
      <c r="CI52" s="153"/>
      <c r="CJ52" s="153"/>
      <c r="CK52" s="153"/>
      <c r="CL52" s="153"/>
      <c r="CM52" s="153"/>
      <c r="CN52" s="153"/>
      <c r="CO52" s="153"/>
      <c r="CP52" s="153"/>
      <c r="CQ52" s="153"/>
      <c r="CR52" s="153"/>
      <c r="CS52" s="153"/>
      <c r="CT52" s="153"/>
      <c r="CU52" s="153"/>
      <c r="CV52" s="153"/>
      <c r="CW52" s="153"/>
      <c r="CX52" s="153"/>
      <c r="CY52" s="153"/>
      <c r="CZ52" s="5"/>
      <c r="DA52" s="153"/>
      <c r="DB52" s="153"/>
      <c r="DC52" s="153"/>
      <c r="DD52" s="153"/>
      <c r="DE52" s="153"/>
      <c r="DF52" s="153"/>
    </row>
    <row r="53" spans="1:110" ht="1.8" hidden="1" customHeight="1" outlineLevel="1">
      <c r="A53" s="160" t="s">
        <v>1266</v>
      </c>
      <c r="B53" s="160"/>
      <c r="C53" s="160"/>
      <c r="D53" s="160"/>
      <c r="E53" s="160"/>
      <c r="F53" s="160"/>
      <c r="G53" s="160"/>
      <c r="H53" s="160"/>
      <c r="I53" s="160"/>
      <c r="J53" s="160"/>
      <c r="K53" s="160"/>
      <c r="L53" s="162"/>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5"/>
      <c r="DA53" s="153"/>
      <c r="DB53" s="153"/>
      <c r="DC53" s="153"/>
      <c r="DD53" s="153"/>
      <c r="DE53" s="153"/>
      <c r="DF53" s="153"/>
    </row>
    <row r="54" spans="1:110" ht="1.8" hidden="1" customHeight="1" outlineLevel="1">
      <c r="A54" s="160" t="s">
        <v>1266</v>
      </c>
      <c r="B54" s="160"/>
      <c r="C54" s="160"/>
      <c r="D54" s="160"/>
      <c r="E54" s="160"/>
      <c r="F54" s="160"/>
      <c r="G54" s="160"/>
      <c r="H54" s="160"/>
      <c r="I54" s="160"/>
      <c r="J54" s="160"/>
      <c r="K54" s="160"/>
      <c r="L54" s="162"/>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5"/>
      <c r="DA54" s="153"/>
      <c r="DB54" s="153"/>
      <c r="DC54" s="153"/>
      <c r="DD54" s="153"/>
      <c r="DE54" s="153"/>
      <c r="DF54" s="153"/>
    </row>
    <row r="55" spans="1:110" ht="1.8" hidden="1" customHeight="1" outlineLevel="1">
      <c r="A55" s="160" t="s">
        <v>1266</v>
      </c>
      <c r="B55" s="160"/>
      <c r="C55" s="160"/>
      <c r="D55" s="160"/>
      <c r="E55" s="160"/>
      <c r="F55" s="160"/>
      <c r="G55" s="160"/>
      <c r="H55" s="160"/>
      <c r="I55" s="160"/>
      <c r="J55" s="160"/>
      <c r="K55" s="160"/>
      <c r="L55" s="162"/>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5"/>
      <c r="DA55" s="153"/>
      <c r="DB55" s="153"/>
      <c r="DC55" s="153"/>
      <c r="DD55" s="153"/>
      <c r="DE55" s="153"/>
      <c r="DF55" s="153"/>
    </row>
    <row r="56" spans="1:110" ht="1.8" hidden="1" customHeight="1" outlineLevel="1">
      <c r="A56" s="160" t="s">
        <v>1266</v>
      </c>
      <c r="B56" s="160"/>
      <c r="C56" s="160"/>
      <c r="D56" s="160"/>
      <c r="E56" s="160"/>
      <c r="F56" s="160"/>
      <c r="G56" s="160"/>
      <c r="H56" s="160"/>
      <c r="I56" s="160"/>
      <c r="J56" s="160"/>
      <c r="K56" s="160"/>
      <c r="L56" s="162"/>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5"/>
      <c r="DA56" s="153"/>
      <c r="DB56" s="153"/>
      <c r="DC56" s="153"/>
      <c r="DD56" s="153"/>
      <c r="DE56" s="153"/>
      <c r="DF56" s="153"/>
    </row>
    <row r="57" spans="1:110" ht="1.8" hidden="1" customHeight="1" outlineLevel="1">
      <c r="A57" s="160" t="s">
        <v>1266</v>
      </c>
      <c r="B57" s="160"/>
      <c r="C57" s="160"/>
      <c r="D57" s="160"/>
      <c r="E57" s="160"/>
      <c r="F57" s="160"/>
      <c r="G57" s="160"/>
      <c r="H57" s="160"/>
      <c r="I57" s="160"/>
      <c r="J57" s="160"/>
      <c r="K57" s="160"/>
      <c r="L57" s="162"/>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5"/>
      <c r="DA57" s="153"/>
      <c r="DB57" s="153"/>
      <c r="DC57" s="153"/>
      <c r="DD57" s="153"/>
      <c r="DE57" s="153"/>
      <c r="DF57" s="153"/>
    </row>
    <row r="58" spans="1:110" ht="1.8" hidden="1" customHeight="1" outlineLevel="1">
      <c r="A58" s="160" t="s">
        <v>1266</v>
      </c>
      <c r="B58" s="160"/>
      <c r="C58" s="160"/>
      <c r="D58" s="160"/>
      <c r="E58" s="160"/>
      <c r="F58" s="160"/>
      <c r="G58" s="160"/>
      <c r="H58" s="160"/>
      <c r="I58" s="160"/>
      <c r="J58" s="160"/>
      <c r="K58" s="160"/>
      <c r="L58" s="16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5"/>
      <c r="DA58" s="153"/>
      <c r="DB58" s="153"/>
      <c r="DC58" s="153"/>
      <c r="DD58" s="153"/>
      <c r="DE58" s="153"/>
      <c r="DF58" s="153"/>
    </row>
    <row r="59" spans="1:110" ht="1.8" hidden="1" customHeight="1" outlineLevel="1">
      <c r="A59" s="160" t="s">
        <v>1266</v>
      </c>
      <c r="B59" s="160"/>
      <c r="C59" s="160"/>
      <c r="D59" s="160"/>
      <c r="E59" s="160"/>
      <c r="F59" s="160"/>
      <c r="G59" s="160"/>
      <c r="H59" s="160"/>
      <c r="I59" s="160"/>
      <c r="J59" s="160"/>
      <c r="K59" s="160"/>
      <c r="L59" s="162"/>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5"/>
      <c r="DA59" s="153"/>
      <c r="DB59" s="153"/>
      <c r="DC59" s="153"/>
      <c r="DD59" s="153"/>
      <c r="DE59" s="153"/>
      <c r="DF59" s="153"/>
    </row>
    <row r="60" spans="1:110" ht="1.8" hidden="1" customHeight="1" outlineLevel="1">
      <c r="A60" s="160" t="s">
        <v>1266</v>
      </c>
      <c r="B60" s="160"/>
      <c r="C60" s="160"/>
      <c r="D60" s="160"/>
      <c r="E60" s="160"/>
      <c r="F60" s="160"/>
      <c r="G60" s="160"/>
      <c r="H60" s="160"/>
      <c r="I60" s="160"/>
      <c r="J60" s="160"/>
      <c r="K60" s="160"/>
      <c r="L60" s="162"/>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5"/>
      <c r="DA60" s="153"/>
      <c r="DB60" s="153"/>
      <c r="DC60" s="153"/>
      <c r="DD60" s="153"/>
      <c r="DE60" s="153"/>
      <c r="DF60" s="153"/>
    </row>
    <row r="61" spans="1:110" ht="1.8" hidden="1" customHeight="1" outlineLevel="1">
      <c r="A61" s="160" t="s">
        <v>1266</v>
      </c>
      <c r="B61" s="160"/>
      <c r="C61" s="160"/>
      <c r="D61" s="160"/>
      <c r="E61" s="160"/>
      <c r="F61" s="160"/>
      <c r="G61" s="160"/>
      <c r="H61" s="160"/>
      <c r="I61" s="160"/>
      <c r="J61" s="160"/>
      <c r="K61" s="160"/>
      <c r="L61" s="162"/>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5"/>
      <c r="DA61" s="153"/>
      <c r="DB61" s="153"/>
      <c r="DC61" s="153"/>
      <c r="DD61" s="153"/>
      <c r="DE61" s="153"/>
      <c r="DF61" s="153"/>
    </row>
    <row r="62" spans="1:110" ht="1.8" hidden="1" customHeight="1" outlineLevel="1">
      <c r="A62" s="160" t="s">
        <v>1266</v>
      </c>
      <c r="B62" s="160"/>
      <c r="C62" s="160"/>
      <c r="D62" s="160"/>
      <c r="E62" s="160"/>
      <c r="F62" s="160"/>
      <c r="G62" s="160"/>
      <c r="H62" s="160"/>
      <c r="I62" s="160"/>
      <c r="J62" s="160"/>
      <c r="K62" s="160"/>
      <c r="L62" s="162"/>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5"/>
      <c r="DA62" s="153"/>
      <c r="DB62" s="153"/>
      <c r="DC62" s="153"/>
      <c r="DD62" s="153"/>
      <c r="DE62" s="153"/>
      <c r="DF62" s="153"/>
    </row>
    <row r="63" spans="1:110" ht="1.8" hidden="1" customHeight="1" outlineLevel="1">
      <c r="A63" s="160" t="s">
        <v>1266</v>
      </c>
      <c r="B63" s="160"/>
      <c r="C63" s="160"/>
      <c r="D63" s="160"/>
      <c r="E63" s="160"/>
      <c r="F63" s="160"/>
      <c r="G63" s="160"/>
      <c r="H63" s="160"/>
      <c r="I63" s="160"/>
      <c r="J63" s="160"/>
      <c r="K63" s="160"/>
      <c r="L63" s="162"/>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5"/>
      <c r="DA63" s="153"/>
      <c r="DB63" s="153"/>
      <c r="DC63" s="153"/>
      <c r="DD63" s="153"/>
      <c r="DE63" s="153"/>
      <c r="DF63" s="153"/>
    </row>
    <row r="64" spans="1:110" ht="1.8" hidden="1" customHeight="1" outlineLevel="1">
      <c r="A64" s="160" t="s">
        <v>1266</v>
      </c>
      <c r="B64" s="160"/>
      <c r="C64" s="160"/>
      <c r="D64" s="160"/>
      <c r="E64" s="160"/>
      <c r="F64" s="160"/>
      <c r="G64" s="160"/>
      <c r="H64" s="160"/>
      <c r="I64" s="160"/>
      <c r="J64" s="160"/>
      <c r="K64" s="160"/>
      <c r="L64" s="162"/>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53"/>
      <c r="CK64" s="153"/>
      <c r="CL64" s="153"/>
      <c r="CM64" s="153"/>
      <c r="CN64" s="153"/>
      <c r="CO64" s="153"/>
      <c r="CP64" s="153"/>
      <c r="CQ64" s="153"/>
      <c r="CR64" s="153"/>
      <c r="CS64" s="153"/>
      <c r="CT64" s="153"/>
      <c r="CU64" s="153"/>
      <c r="CV64" s="153"/>
      <c r="CW64" s="153"/>
      <c r="CX64" s="153"/>
      <c r="CY64" s="153"/>
      <c r="CZ64" s="5"/>
      <c r="DA64" s="153"/>
      <c r="DB64" s="153"/>
      <c r="DC64" s="153"/>
      <c r="DD64" s="153"/>
      <c r="DE64" s="153"/>
      <c r="DF64" s="153"/>
    </row>
    <row r="65" spans="1:110" ht="1.8" hidden="1" customHeight="1" outlineLevel="1">
      <c r="A65" s="160" t="s">
        <v>1266</v>
      </c>
      <c r="B65" s="160"/>
      <c r="C65" s="160"/>
      <c r="D65" s="160"/>
      <c r="E65" s="160"/>
      <c r="F65" s="160"/>
      <c r="G65" s="160"/>
      <c r="H65" s="160"/>
      <c r="I65" s="160"/>
      <c r="J65" s="160"/>
      <c r="K65" s="160"/>
      <c r="L65" s="162"/>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S65" s="153"/>
      <c r="CT65" s="153"/>
      <c r="CU65" s="153"/>
      <c r="CV65" s="153"/>
      <c r="CW65" s="153"/>
      <c r="CX65" s="153"/>
      <c r="CY65" s="153"/>
      <c r="CZ65" s="5"/>
      <c r="DA65" s="153"/>
      <c r="DB65" s="153"/>
      <c r="DC65" s="153"/>
      <c r="DD65" s="153"/>
      <c r="DE65" s="153"/>
      <c r="DF65" s="153"/>
    </row>
    <row r="66" spans="1:110" ht="1.8" hidden="1" customHeight="1" outlineLevel="1">
      <c r="A66" s="160" t="s">
        <v>1266</v>
      </c>
      <c r="B66" s="160"/>
      <c r="C66" s="160"/>
      <c r="D66" s="160"/>
      <c r="E66" s="160"/>
      <c r="F66" s="160"/>
      <c r="G66" s="160"/>
      <c r="H66" s="160"/>
      <c r="I66" s="160"/>
      <c r="J66" s="160"/>
      <c r="K66" s="160"/>
      <c r="L66" s="162"/>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3"/>
      <c r="CZ66" s="5"/>
      <c r="DA66" s="153"/>
      <c r="DB66" s="153"/>
      <c r="DC66" s="153"/>
      <c r="DD66" s="153"/>
      <c r="DE66" s="153"/>
      <c r="DF66" s="153"/>
    </row>
    <row r="67" spans="1:110" ht="1.8" hidden="1" customHeight="1" outlineLevel="1">
      <c r="A67" s="160" t="s">
        <v>1266</v>
      </c>
      <c r="B67" s="160"/>
      <c r="C67" s="160"/>
      <c r="D67" s="160"/>
      <c r="E67" s="160"/>
      <c r="F67" s="160"/>
      <c r="G67" s="160"/>
      <c r="H67" s="160"/>
      <c r="I67" s="160"/>
      <c r="J67" s="160"/>
      <c r="K67" s="160"/>
      <c r="L67" s="162"/>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5"/>
      <c r="DA67" s="153"/>
      <c r="DB67" s="153"/>
      <c r="DC67" s="153"/>
      <c r="DD67" s="153"/>
      <c r="DE67" s="153"/>
      <c r="DF67" s="153"/>
    </row>
    <row r="68" spans="1:110" ht="1.8" hidden="1" customHeight="1" outlineLevel="1">
      <c r="A68" s="160" t="s">
        <v>1266</v>
      </c>
      <c r="B68" s="160"/>
      <c r="C68" s="160"/>
      <c r="D68" s="160"/>
      <c r="E68" s="160"/>
      <c r="F68" s="160"/>
      <c r="G68" s="160"/>
      <c r="H68" s="160"/>
      <c r="I68" s="160"/>
      <c r="J68" s="160"/>
      <c r="K68" s="160"/>
      <c r="L68" s="162"/>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5"/>
      <c r="DA68" s="153"/>
      <c r="DB68" s="153"/>
      <c r="DC68" s="153"/>
      <c r="DD68" s="153"/>
      <c r="DE68" s="153"/>
      <c r="DF68" s="153"/>
    </row>
    <row r="69" spans="1:110" ht="1.8" hidden="1" customHeight="1" outlineLevel="1">
      <c r="A69" s="160" t="s">
        <v>1266</v>
      </c>
      <c r="B69" s="160"/>
      <c r="C69" s="160"/>
      <c r="D69" s="160"/>
      <c r="E69" s="160"/>
      <c r="F69" s="160"/>
      <c r="G69" s="160"/>
      <c r="H69" s="160"/>
      <c r="I69" s="160"/>
      <c r="J69" s="160"/>
      <c r="K69" s="160"/>
      <c r="L69" s="162"/>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5"/>
      <c r="DA69" s="153"/>
      <c r="DB69" s="153"/>
      <c r="DC69" s="153"/>
      <c r="DD69" s="153"/>
      <c r="DE69" s="153"/>
      <c r="DF69" s="153"/>
    </row>
    <row r="70" spans="1:110" ht="1.8" hidden="1" customHeight="1" outlineLevel="1">
      <c r="A70" s="160" t="s">
        <v>1266</v>
      </c>
      <c r="B70" s="160"/>
      <c r="C70" s="160"/>
      <c r="D70" s="160"/>
      <c r="E70" s="160"/>
      <c r="F70" s="160"/>
      <c r="G70" s="160"/>
      <c r="H70" s="160"/>
      <c r="I70" s="160"/>
      <c r="J70" s="160"/>
      <c r="K70" s="160"/>
      <c r="L70" s="162"/>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5"/>
      <c r="DA70" s="153"/>
      <c r="DB70" s="153"/>
      <c r="DC70" s="153"/>
      <c r="DD70" s="153"/>
      <c r="DE70" s="153"/>
      <c r="DF70" s="153"/>
    </row>
    <row r="71" spans="1:110" ht="1.8" hidden="1" customHeight="1" outlineLevel="1">
      <c r="A71" s="160" t="s">
        <v>1266</v>
      </c>
      <c r="B71" s="160"/>
      <c r="C71" s="160"/>
      <c r="D71" s="160"/>
      <c r="E71" s="160"/>
      <c r="F71" s="160"/>
      <c r="G71" s="160"/>
      <c r="H71" s="160"/>
      <c r="I71" s="160"/>
      <c r="J71" s="160"/>
      <c r="K71" s="160"/>
      <c r="L71" s="162"/>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5"/>
      <c r="DA71" s="153"/>
      <c r="DB71" s="153"/>
      <c r="DC71" s="153"/>
      <c r="DD71" s="153"/>
      <c r="DE71" s="153"/>
      <c r="DF71" s="153"/>
    </row>
    <row r="72" spans="1:110" ht="1.8" hidden="1" customHeight="1" outlineLevel="1">
      <c r="A72" s="160" t="s">
        <v>1266</v>
      </c>
      <c r="B72" s="160"/>
      <c r="C72" s="160"/>
      <c r="D72" s="160"/>
      <c r="E72" s="160"/>
      <c r="F72" s="160"/>
      <c r="G72" s="160"/>
      <c r="H72" s="160"/>
      <c r="I72" s="160"/>
      <c r="J72" s="160"/>
      <c r="K72" s="160"/>
      <c r="L72" s="162"/>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5"/>
      <c r="DA72" s="153"/>
      <c r="DB72" s="153"/>
      <c r="DC72" s="153"/>
      <c r="DD72" s="153"/>
      <c r="DE72" s="153"/>
      <c r="DF72" s="153"/>
    </row>
    <row r="73" spans="1:110" ht="1.8" hidden="1" customHeight="1" outlineLevel="1">
      <c r="A73" s="160" t="s">
        <v>1266</v>
      </c>
      <c r="B73" s="160"/>
      <c r="C73" s="160"/>
      <c r="D73" s="160"/>
      <c r="E73" s="160"/>
      <c r="F73" s="160"/>
      <c r="G73" s="160"/>
      <c r="H73" s="160"/>
      <c r="I73" s="160"/>
      <c r="J73" s="160"/>
      <c r="K73" s="160"/>
      <c r="L73" s="162"/>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5"/>
      <c r="DA73" s="153"/>
      <c r="DB73" s="153"/>
      <c r="DC73" s="153"/>
      <c r="DD73" s="153"/>
      <c r="DE73" s="153"/>
      <c r="DF73" s="153"/>
    </row>
    <row r="74" spans="1:110" ht="1.8" hidden="1" customHeight="1" outlineLevel="1">
      <c r="A74" s="160" t="s">
        <v>1266</v>
      </c>
      <c r="B74" s="160"/>
      <c r="C74" s="160"/>
      <c r="D74" s="160"/>
      <c r="E74" s="160"/>
      <c r="F74" s="160"/>
      <c r="G74" s="160"/>
      <c r="H74" s="160"/>
      <c r="I74" s="160"/>
      <c r="J74" s="160"/>
      <c r="K74" s="160"/>
      <c r="L74" s="162"/>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5"/>
      <c r="DA74" s="153"/>
      <c r="DB74" s="153"/>
      <c r="DC74" s="153"/>
      <c r="DD74" s="153"/>
      <c r="DE74" s="153"/>
      <c r="DF74" s="153"/>
    </row>
    <row r="75" spans="1:110" ht="1.8" hidden="1" customHeight="1" outlineLevel="1">
      <c r="A75" s="160" t="s">
        <v>1266</v>
      </c>
      <c r="B75" s="160"/>
      <c r="C75" s="160"/>
      <c r="D75" s="160"/>
      <c r="E75" s="160"/>
      <c r="F75" s="160"/>
      <c r="G75" s="160"/>
      <c r="H75" s="160"/>
      <c r="I75" s="160"/>
      <c r="J75" s="160"/>
      <c r="K75" s="160"/>
      <c r="L75" s="162"/>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5"/>
      <c r="DA75" s="153"/>
      <c r="DB75" s="153"/>
      <c r="DC75" s="153"/>
      <c r="DD75" s="153"/>
      <c r="DE75" s="153"/>
      <c r="DF75" s="153"/>
    </row>
    <row r="76" spans="1:110" ht="1.8" hidden="1" customHeight="1" outlineLevel="1">
      <c r="A76" s="160" t="s">
        <v>1266</v>
      </c>
      <c r="B76" s="160"/>
      <c r="C76" s="160"/>
      <c r="D76" s="160"/>
      <c r="E76" s="160"/>
      <c r="F76" s="160"/>
      <c r="G76" s="160"/>
      <c r="H76" s="160"/>
      <c r="I76" s="160"/>
      <c r="J76" s="160"/>
      <c r="K76" s="160"/>
      <c r="L76" s="162"/>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5"/>
      <c r="DA76" s="153"/>
      <c r="DB76" s="153"/>
      <c r="DC76" s="153"/>
      <c r="DD76" s="153"/>
      <c r="DE76" s="153"/>
      <c r="DF76" s="153"/>
    </row>
    <row r="77" spans="1:110" ht="1.8" hidden="1" customHeight="1" outlineLevel="1">
      <c r="A77" s="160" t="s">
        <v>1266</v>
      </c>
      <c r="B77" s="160"/>
      <c r="C77" s="160"/>
      <c r="D77" s="160"/>
      <c r="E77" s="160"/>
      <c r="F77" s="160"/>
      <c r="G77" s="160"/>
      <c r="H77" s="160"/>
      <c r="I77" s="160"/>
      <c r="J77" s="160"/>
      <c r="K77" s="160"/>
      <c r="L77" s="162"/>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5"/>
      <c r="DA77" s="153"/>
      <c r="DB77" s="153"/>
      <c r="DC77" s="153"/>
      <c r="DD77" s="153"/>
      <c r="DE77" s="153"/>
      <c r="DF77" s="153"/>
    </row>
    <row r="78" spans="1:110" ht="1.8" hidden="1" customHeight="1" outlineLevel="1">
      <c r="A78" s="160" t="s">
        <v>1266</v>
      </c>
      <c r="B78" s="160"/>
      <c r="C78" s="160"/>
      <c r="D78" s="160"/>
      <c r="E78" s="160"/>
      <c r="F78" s="160"/>
      <c r="G78" s="160"/>
      <c r="H78" s="160"/>
      <c r="I78" s="160"/>
      <c r="J78" s="160"/>
      <c r="K78" s="160"/>
      <c r="L78" s="162"/>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53"/>
      <c r="CG78" s="153"/>
      <c r="CH78" s="153"/>
      <c r="CI78" s="153"/>
      <c r="CJ78" s="153"/>
      <c r="CK78" s="153"/>
      <c r="CL78" s="153"/>
      <c r="CM78" s="153"/>
      <c r="CN78" s="153"/>
      <c r="CO78" s="153"/>
      <c r="CP78" s="153"/>
      <c r="CQ78" s="153"/>
      <c r="CR78" s="153"/>
      <c r="CS78" s="153"/>
      <c r="CT78" s="153"/>
      <c r="CU78" s="153"/>
      <c r="CV78" s="153"/>
      <c r="CW78" s="153"/>
      <c r="CX78" s="153"/>
      <c r="CY78" s="153"/>
      <c r="CZ78" s="5"/>
      <c r="DA78" s="153"/>
      <c r="DB78" s="153"/>
      <c r="DC78" s="153"/>
      <c r="DD78" s="153"/>
      <c r="DE78" s="153"/>
      <c r="DF78" s="153"/>
    </row>
    <row r="79" spans="1:110" ht="1.8" hidden="1" customHeight="1" outlineLevel="1">
      <c r="A79" s="160" t="s">
        <v>1266</v>
      </c>
      <c r="B79" s="160"/>
      <c r="C79" s="160"/>
      <c r="D79" s="160"/>
      <c r="E79" s="160"/>
      <c r="F79" s="160"/>
      <c r="G79" s="160"/>
      <c r="H79" s="160"/>
      <c r="I79" s="160"/>
      <c r="J79" s="160"/>
      <c r="K79" s="160"/>
      <c r="L79" s="162"/>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5"/>
      <c r="DA79" s="153"/>
      <c r="DB79" s="153"/>
      <c r="DC79" s="153"/>
      <c r="DD79" s="153"/>
      <c r="DE79" s="153"/>
      <c r="DF79" s="153"/>
    </row>
    <row r="80" spans="1:110" ht="1.8" hidden="1" customHeight="1" outlineLevel="1">
      <c r="A80" s="160" t="s">
        <v>1266</v>
      </c>
      <c r="B80" s="160"/>
      <c r="C80" s="160"/>
      <c r="D80" s="160"/>
      <c r="E80" s="160"/>
      <c r="F80" s="160"/>
      <c r="G80" s="160"/>
      <c r="H80" s="160"/>
      <c r="I80" s="160"/>
      <c r="J80" s="160"/>
      <c r="K80" s="160"/>
      <c r="L80" s="162"/>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5"/>
      <c r="DA80" s="153"/>
      <c r="DB80" s="153"/>
      <c r="DC80" s="153"/>
      <c r="DD80" s="153"/>
      <c r="DE80" s="153"/>
      <c r="DF80" s="153"/>
    </row>
    <row r="81" spans="1:110" ht="1.8" hidden="1" customHeight="1" outlineLevel="1">
      <c r="A81" s="160" t="s">
        <v>1266</v>
      </c>
      <c r="B81" s="160"/>
      <c r="C81" s="160"/>
      <c r="D81" s="160"/>
      <c r="E81" s="160"/>
      <c r="F81" s="160"/>
      <c r="G81" s="160"/>
      <c r="H81" s="160"/>
      <c r="I81" s="160"/>
      <c r="J81" s="160"/>
      <c r="K81" s="160"/>
      <c r="L81" s="162"/>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5"/>
      <c r="DA81" s="153"/>
      <c r="DB81" s="153"/>
      <c r="DC81" s="153"/>
      <c r="DD81" s="153"/>
      <c r="DE81" s="153"/>
      <c r="DF81" s="153"/>
    </row>
    <row r="82" spans="1:110" ht="1.8" hidden="1" customHeight="1" outlineLevel="1">
      <c r="A82" s="160" t="s">
        <v>1266</v>
      </c>
      <c r="B82" s="160"/>
      <c r="C82" s="160"/>
      <c r="D82" s="160"/>
      <c r="E82" s="160"/>
      <c r="F82" s="160"/>
      <c r="G82" s="160"/>
      <c r="H82" s="160"/>
      <c r="I82" s="160"/>
      <c r="J82" s="160"/>
      <c r="K82" s="160"/>
      <c r="L82" s="162"/>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5"/>
      <c r="DA82" s="153"/>
      <c r="DB82" s="153"/>
      <c r="DC82" s="153"/>
      <c r="DD82" s="153"/>
      <c r="DE82" s="153"/>
      <c r="DF82" s="153"/>
    </row>
    <row r="83" spans="1:110" ht="1.8" hidden="1" customHeight="1" outlineLevel="1">
      <c r="A83" s="160" t="s">
        <v>1266</v>
      </c>
      <c r="B83" s="160"/>
      <c r="C83" s="160"/>
      <c r="D83" s="160"/>
      <c r="E83" s="160"/>
      <c r="F83" s="160"/>
      <c r="G83" s="160"/>
      <c r="H83" s="160"/>
      <c r="I83" s="160"/>
      <c r="J83" s="160"/>
      <c r="K83" s="160"/>
      <c r="L83" s="162"/>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5"/>
      <c r="DA83" s="153"/>
      <c r="DB83" s="153"/>
      <c r="DC83" s="153"/>
      <c r="DD83" s="153"/>
      <c r="DE83" s="153"/>
      <c r="DF83" s="153"/>
    </row>
    <row r="84" spans="1:110" ht="1.8" hidden="1" customHeight="1" outlineLevel="1">
      <c r="A84" s="160" t="s">
        <v>1266</v>
      </c>
      <c r="B84" s="160"/>
      <c r="C84" s="160"/>
      <c r="D84" s="160"/>
      <c r="E84" s="160"/>
      <c r="F84" s="160"/>
      <c r="G84" s="160"/>
      <c r="H84" s="160"/>
      <c r="I84" s="160"/>
      <c r="J84" s="160"/>
      <c r="K84" s="160"/>
      <c r="L84" s="162"/>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5"/>
      <c r="DA84" s="153"/>
      <c r="DB84" s="153"/>
      <c r="DC84" s="153"/>
      <c r="DD84" s="153"/>
      <c r="DE84" s="153"/>
      <c r="DF84" s="153"/>
    </row>
    <row r="85" spans="1:110" ht="11.4" hidden="1" customHeight="1" outlineLevel="1">
      <c r="A85" s="190" t="s">
        <v>2175</v>
      </c>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t="s">
        <v>2189</v>
      </c>
      <c r="Z85" s="190"/>
      <c r="AA85" s="190" t="s">
        <v>2188</v>
      </c>
      <c r="AB85" s="190" t="s">
        <v>2187</v>
      </c>
      <c r="AC85" s="190" t="s">
        <v>2187</v>
      </c>
      <c r="AD85" s="190" t="s">
        <v>2187</v>
      </c>
      <c r="AE85" s="190" t="s">
        <v>2187</v>
      </c>
      <c r="AF85" s="190"/>
      <c r="AG85" s="190"/>
      <c r="AH85" s="153"/>
      <c r="AI85" s="153"/>
      <c r="AJ85" s="153"/>
      <c r="AK85" s="190" t="s">
        <v>2188</v>
      </c>
      <c r="AL85" s="190" t="s">
        <v>2226</v>
      </c>
      <c r="AM85" s="153"/>
      <c r="AN85" s="153"/>
      <c r="AO85" s="153"/>
      <c r="AP85" s="153"/>
      <c r="AQ85" s="153"/>
      <c r="AR85" s="190"/>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5"/>
      <c r="DA85" s="153"/>
      <c r="DB85" s="153"/>
      <c r="DC85" s="153"/>
      <c r="DD85" s="153"/>
      <c r="DE85" s="153"/>
      <c r="DF85" s="153"/>
    </row>
    <row r="86" spans="1:110" ht="11.4" hidden="1" customHeight="1" outlineLevel="1">
      <c r="A86" s="160" t="s">
        <v>2176</v>
      </c>
      <c r="B86" s="160"/>
      <c r="C86" s="160"/>
      <c r="D86" s="160"/>
      <c r="E86" s="160"/>
      <c r="F86" s="160"/>
      <c r="G86" s="160"/>
      <c r="H86" s="160"/>
      <c r="I86" s="160"/>
      <c r="J86" s="160"/>
      <c r="K86" s="160"/>
      <c r="L86" s="162"/>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5"/>
      <c r="DA86" s="153"/>
      <c r="DB86" s="153"/>
      <c r="DC86" s="153"/>
      <c r="DD86" s="153"/>
      <c r="DE86" s="153"/>
      <c r="DF86" s="153"/>
    </row>
    <row r="87" spans="1:110" ht="11.4" hidden="1" customHeight="1" outlineLevel="1">
      <c r="A87" s="160" t="s">
        <v>2177</v>
      </c>
      <c r="B87" s="160"/>
      <c r="C87" s="160"/>
      <c r="D87" s="160"/>
      <c r="E87" s="160"/>
      <c r="F87" s="160"/>
      <c r="G87" s="160"/>
      <c r="H87" s="160"/>
      <c r="I87" s="160"/>
      <c r="J87" s="160"/>
      <c r="K87" s="160"/>
      <c r="L87" s="162"/>
      <c r="M87" s="153"/>
      <c r="N87" s="153"/>
      <c r="O87" s="153"/>
      <c r="P87" s="153"/>
      <c r="Q87" s="153"/>
      <c r="R87" s="153"/>
      <c r="S87" s="153"/>
      <c r="T87" s="153"/>
      <c r="U87" s="153"/>
      <c r="V87" s="153"/>
      <c r="W87" s="153"/>
      <c r="X87" s="153"/>
      <c r="Y87" s="198" t="s">
        <v>422</v>
      </c>
      <c r="Z87" s="198" t="s">
        <v>170</v>
      </c>
      <c r="AA87" s="153"/>
      <c r="AB87" s="153"/>
      <c r="AC87" s="198" t="s">
        <v>2206</v>
      </c>
      <c r="AD87" s="198" t="s">
        <v>2207</v>
      </c>
      <c r="AE87" s="198" t="s">
        <v>2208</v>
      </c>
      <c r="AF87" s="153"/>
      <c r="AG87" s="153"/>
      <c r="AH87" s="153"/>
      <c r="AI87" s="153"/>
      <c r="AJ87" s="198" t="s">
        <v>169</v>
      </c>
      <c r="AK87" s="153"/>
      <c r="AL87" s="153"/>
      <c r="AM87" s="198" t="s">
        <v>148</v>
      </c>
      <c r="AN87" s="153"/>
      <c r="AO87" s="198" t="s">
        <v>149</v>
      </c>
      <c r="AP87" s="153"/>
      <c r="AQ87" s="153"/>
      <c r="AR87" s="153"/>
      <c r="AS87" s="198" t="s">
        <v>164</v>
      </c>
      <c r="AT87" s="153"/>
      <c r="AU87" s="153"/>
      <c r="AV87" s="198" t="s">
        <v>164</v>
      </c>
      <c r="AW87" s="191"/>
      <c r="AX87" s="153"/>
      <c r="AY87" s="153"/>
      <c r="AZ87" s="153"/>
      <c r="BA87" s="153"/>
      <c r="BB87" s="153"/>
      <c r="BC87" s="153"/>
      <c r="BD87" s="198" t="s">
        <v>161</v>
      </c>
      <c r="BE87" s="198" t="s">
        <v>162</v>
      </c>
      <c r="BF87" s="153"/>
      <c r="BG87" s="198" t="s">
        <v>161</v>
      </c>
      <c r="BH87" s="198" t="s">
        <v>162</v>
      </c>
      <c r="BI87" s="153"/>
      <c r="BJ87" s="153"/>
      <c r="BK87" s="153"/>
      <c r="BL87" s="198" t="s">
        <v>161</v>
      </c>
      <c r="BM87" s="198" t="s">
        <v>162</v>
      </c>
      <c r="BN87" s="198" t="s">
        <v>178</v>
      </c>
      <c r="BO87" s="153"/>
      <c r="BP87" s="153"/>
      <c r="BQ87" s="198" t="s">
        <v>161</v>
      </c>
      <c r="BR87" s="198" t="s">
        <v>162</v>
      </c>
      <c r="BS87" s="153"/>
      <c r="BT87" s="198" t="s">
        <v>161</v>
      </c>
      <c r="BU87" s="198" t="s">
        <v>178</v>
      </c>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5"/>
      <c r="DA87" s="154"/>
      <c r="DB87" s="154"/>
      <c r="DC87" s="154"/>
      <c r="DD87" s="154"/>
      <c r="DE87" s="154"/>
      <c r="DF87" s="154"/>
    </row>
    <row r="88" spans="1:110" ht="11.4" hidden="1" customHeight="1" outlineLevel="1">
      <c r="A88" s="160" t="s">
        <v>2178</v>
      </c>
      <c r="B88" s="160"/>
      <c r="C88" s="160"/>
      <c r="D88" s="160"/>
      <c r="E88" s="160"/>
      <c r="F88" s="160"/>
      <c r="G88" s="160"/>
      <c r="H88" s="160"/>
      <c r="I88" s="160"/>
      <c r="J88" s="160"/>
      <c r="K88" s="160"/>
      <c r="L88" s="162"/>
      <c r="M88" s="153"/>
      <c r="N88" s="153"/>
      <c r="O88" s="153"/>
      <c r="P88" s="153"/>
      <c r="Q88" s="153"/>
      <c r="R88" s="153"/>
      <c r="S88" s="153"/>
      <c r="T88" s="153"/>
      <c r="U88" s="153"/>
      <c r="V88" s="153"/>
      <c r="W88" s="153"/>
      <c r="X88" s="153"/>
      <c r="Y88" s="153"/>
      <c r="Z88" s="199">
        <v>1963</v>
      </c>
      <c r="AA88" s="153"/>
      <c r="AB88" s="199" t="s">
        <v>455</v>
      </c>
      <c r="AC88" s="153"/>
      <c r="AD88" s="153"/>
      <c r="AE88" s="153"/>
      <c r="AF88" s="153"/>
      <c r="AG88" s="153"/>
      <c r="AH88" s="12">
        <f>AJ88</f>
        <v>1995</v>
      </c>
      <c r="AI88" s="153"/>
      <c r="AJ88" s="12">
        <v>1995</v>
      </c>
      <c r="AK88" s="153"/>
      <c r="AL88" s="199" t="s">
        <v>455</v>
      </c>
      <c r="AM88" s="153"/>
      <c r="AN88" s="153"/>
      <c r="AO88" s="153"/>
      <c r="AP88" s="153"/>
      <c r="AQ88" s="153"/>
      <c r="AR88" s="199" t="s">
        <v>455</v>
      </c>
      <c r="AS88" s="153"/>
      <c r="AT88" s="153"/>
      <c r="AU88" s="199" t="s">
        <v>455</v>
      </c>
      <c r="AV88" s="153"/>
      <c r="AW88" s="153"/>
      <c r="AX88" s="153"/>
      <c r="AY88" s="153"/>
      <c r="AZ88" s="153"/>
      <c r="BA88" s="153"/>
      <c r="BB88" s="153"/>
      <c r="BC88" s="153"/>
      <c r="BD88" s="199" t="s">
        <v>463</v>
      </c>
      <c r="BE88" s="199" t="s">
        <v>463</v>
      </c>
      <c r="BF88" s="154"/>
      <c r="BG88" s="199" t="s">
        <v>464</v>
      </c>
      <c r="BH88" s="199" t="s">
        <v>464</v>
      </c>
      <c r="BI88" s="153"/>
      <c r="BJ88" s="154"/>
      <c r="BK88" s="154"/>
      <c r="BL88" s="199" t="s">
        <v>465</v>
      </c>
      <c r="BM88" s="199" t="s">
        <v>465</v>
      </c>
      <c r="BN88" s="199" t="s">
        <v>465</v>
      </c>
      <c r="BO88" s="154"/>
      <c r="BP88" s="154"/>
      <c r="BQ88" s="199" t="s">
        <v>466</v>
      </c>
      <c r="BR88" s="199" t="s">
        <v>466</v>
      </c>
      <c r="BS88" s="154"/>
      <c r="BT88" s="199" t="s">
        <v>467</v>
      </c>
      <c r="BU88" s="199" t="s">
        <v>467</v>
      </c>
      <c r="BV88" s="153"/>
      <c r="BW88" s="153"/>
      <c r="BX88" s="153"/>
      <c r="BY88" s="153"/>
      <c r="BZ88" s="153"/>
      <c r="CA88" s="153"/>
      <c r="CB88" s="153"/>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5"/>
      <c r="DA88" s="153"/>
      <c r="DB88" s="153"/>
      <c r="DC88" s="153"/>
      <c r="DD88" s="153"/>
      <c r="DE88" s="153"/>
      <c r="DF88" s="153"/>
    </row>
    <row r="89" spans="1:110" ht="11.4" hidden="1" customHeight="1" outlineLevel="1">
      <c r="A89" s="160" t="s">
        <v>2179</v>
      </c>
      <c r="B89" s="160"/>
      <c r="C89" s="160"/>
      <c r="D89" s="160"/>
      <c r="E89" s="160"/>
      <c r="F89" s="160"/>
      <c r="G89" s="160"/>
      <c r="H89" s="160"/>
      <c r="I89" s="160"/>
      <c r="J89" s="160"/>
      <c r="K89" s="160"/>
      <c r="L89" s="162"/>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5"/>
      <c r="DA89" s="153"/>
      <c r="DB89" s="153"/>
      <c r="DC89" s="153"/>
      <c r="DD89" s="153"/>
      <c r="DE89" s="153"/>
      <c r="DF89" s="153"/>
    </row>
    <row r="90" spans="1:110" ht="11.4" hidden="1" customHeight="1" outlineLevel="1">
      <c r="A90" s="160" t="s">
        <v>2180</v>
      </c>
      <c r="B90" s="160"/>
      <c r="C90" s="160"/>
      <c r="D90" s="160"/>
      <c r="E90" s="160"/>
      <c r="F90" s="160"/>
      <c r="G90" s="160"/>
      <c r="H90" s="160"/>
      <c r="I90" s="160"/>
      <c r="J90" s="160"/>
      <c r="K90" s="160"/>
      <c r="L90" s="162"/>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c r="CL90" s="153"/>
      <c r="CM90" s="153"/>
      <c r="CN90" s="153"/>
      <c r="CO90" s="153"/>
      <c r="CP90" s="153"/>
      <c r="CQ90" s="153"/>
      <c r="CR90" s="153"/>
      <c r="CS90" s="153"/>
      <c r="CT90" s="153"/>
      <c r="CU90" s="153"/>
      <c r="CV90" s="153"/>
      <c r="CW90" s="153"/>
      <c r="CX90" s="153"/>
      <c r="CY90" s="153"/>
      <c r="CZ90" s="5"/>
      <c r="DA90" s="153"/>
      <c r="DB90" s="153"/>
      <c r="DC90" s="153"/>
      <c r="DD90" s="153"/>
      <c r="DE90" s="153"/>
      <c r="DF90" s="153"/>
    </row>
    <row r="91" spans="1:110" ht="13.8" hidden="1" customHeight="1" outlineLevel="1">
      <c r="A91" s="190" t="s">
        <v>2066</v>
      </c>
      <c r="B91" s="190"/>
      <c r="C91" s="190"/>
      <c r="D91" s="190"/>
      <c r="E91" s="190"/>
      <c r="F91" s="190"/>
      <c r="G91" s="190"/>
      <c r="H91" s="190"/>
      <c r="I91" s="190"/>
      <c r="J91" s="190"/>
      <c r="K91" s="190"/>
      <c r="L91" s="190" t="s">
        <v>2052</v>
      </c>
      <c r="M91" s="190" t="s">
        <v>2052</v>
      </c>
      <c r="N91" s="190" t="s">
        <v>2052</v>
      </c>
      <c r="O91" s="190" t="s">
        <v>2052</v>
      </c>
      <c r="P91" s="190" t="s">
        <v>2052</v>
      </c>
      <c r="Q91" s="190" t="s">
        <v>2052</v>
      </c>
      <c r="R91" s="190" t="s">
        <v>2052</v>
      </c>
      <c r="S91" s="190" t="s">
        <v>2052</v>
      </c>
      <c r="T91" s="190" t="s">
        <v>2052</v>
      </c>
      <c r="U91" s="190" t="s">
        <v>2052</v>
      </c>
      <c r="V91" s="190" t="s">
        <v>2052</v>
      </c>
      <c r="W91" s="190" t="s">
        <v>2052</v>
      </c>
      <c r="X91" s="190" t="s">
        <v>2052</v>
      </c>
      <c r="Y91" s="190" t="s">
        <v>2174</v>
      </c>
      <c r="Z91" s="190" t="s">
        <v>2173</v>
      </c>
      <c r="AA91" s="190" t="s">
        <v>2174</v>
      </c>
      <c r="AB91" s="190" t="s">
        <v>2174</v>
      </c>
      <c r="AC91" s="190" t="s">
        <v>2174</v>
      </c>
      <c r="AD91" s="190" t="s">
        <v>2174</v>
      </c>
      <c r="AE91" s="190" t="s">
        <v>2174</v>
      </c>
      <c r="AF91" s="190" t="s">
        <v>2173</v>
      </c>
      <c r="AG91" s="190" t="s">
        <v>2173</v>
      </c>
      <c r="AH91" s="190" t="s">
        <v>2173</v>
      </c>
      <c r="AI91" s="190" t="s">
        <v>2173</v>
      </c>
      <c r="AJ91" s="190" t="s">
        <v>2173</v>
      </c>
      <c r="AK91" s="190" t="s">
        <v>2174</v>
      </c>
      <c r="AL91" s="190" t="s">
        <v>2174</v>
      </c>
      <c r="AM91" s="190" t="s">
        <v>2174</v>
      </c>
      <c r="AN91" s="190" t="s">
        <v>2173</v>
      </c>
      <c r="AO91" s="190" t="s">
        <v>2174</v>
      </c>
      <c r="AP91" s="190" t="s">
        <v>2173</v>
      </c>
      <c r="AQ91" s="190" t="s">
        <v>2174</v>
      </c>
      <c r="AR91" s="190" t="s">
        <v>2174</v>
      </c>
      <c r="AS91" s="190" t="s">
        <v>2173</v>
      </c>
      <c r="AT91" s="190" t="s">
        <v>2174</v>
      </c>
      <c r="AU91" s="190" t="s">
        <v>2174</v>
      </c>
      <c r="AV91" s="190" t="s">
        <v>2173</v>
      </c>
      <c r="AW91" s="190" t="s">
        <v>2173</v>
      </c>
      <c r="AX91" s="190" t="s">
        <v>2173</v>
      </c>
      <c r="AY91" s="190" t="s">
        <v>2173</v>
      </c>
      <c r="AZ91" s="190" t="s">
        <v>2173</v>
      </c>
      <c r="BA91" s="190" t="s">
        <v>2173</v>
      </c>
      <c r="BB91" s="190" t="s">
        <v>2173</v>
      </c>
      <c r="BC91" s="190" t="s">
        <v>2173</v>
      </c>
      <c r="BD91" s="190" t="s">
        <v>2173</v>
      </c>
      <c r="BE91" s="190" t="s">
        <v>2173</v>
      </c>
      <c r="BF91" s="190" t="s">
        <v>2173</v>
      </c>
      <c r="BG91" s="190" t="s">
        <v>2173</v>
      </c>
      <c r="BH91" s="190" t="s">
        <v>2173</v>
      </c>
      <c r="BI91" s="190" t="s">
        <v>2173</v>
      </c>
      <c r="BJ91" s="190" t="s">
        <v>2173</v>
      </c>
      <c r="BK91" s="190" t="s">
        <v>2173</v>
      </c>
      <c r="BL91" s="190" t="s">
        <v>2173</v>
      </c>
      <c r="BM91" s="190" t="s">
        <v>2173</v>
      </c>
      <c r="BN91" s="190" t="s">
        <v>2173</v>
      </c>
      <c r="BO91" s="190" t="s">
        <v>2173</v>
      </c>
      <c r="BP91" s="190" t="s">
        <v>2173</v>
      </c>
      <c r="BQ91" s="190" t="s">
        <v>2173</v>
      </c>
      <c r="BR91" s="190" t="s">
        <v>2173</v>
      </c>
      <c r="BS91" s="190" t="s">
        <v>2173</v>
      </c>
      <c r="BT91" s="190" t="s">
        <v>2173</v>
      </c>
      <c r="BU91" s="190" t="s">
        <v>2173</v>
      </c>
      <c r="BV91" s="190" t="s">
        <v>2173</v>
      </c>
      <c r="BW91" s="190" t="s">
        <v>2173</v>
      </c>
      <c r="BX91" s="190" t="s">
        <v>2173</v>
      </c>
      <c r="BY91" s="190" t="s">
        <v>2173</v>
      </c>
      <c r="BZ91" s="190" t="s">
        <v>2173</v>
      </c>
      <c r="CA91" s="190" t="s">
        <v>2173</v>
      </c>
      <c r="CB91" s="190" t="s">
        <v>2173</v>
      </c>
      <c r="CC91" s="190" t="s">
        <v>2173</v>
      </c>
      <c r="CD91" s="190" t="s">
        <v>2173</v>
      </c>
      <c r="CE91" s="190" t="s">
        <v>2173</v>
      </c>
      <c r="CF91" s="190" t="s">
        <v>2173</v>
      </c>
      <c r="CG91" s="190" t="s">
        <v>2173</v>
      </c>
      <c r="CH91" s="190" t="s">
        <v>2173</v>
      </c>
      <c r="CI91" s="190" t="s">
        <v>2173</v>
      </c>
      <c r="CJ91" s="190" t="s">
        <v>2173</v>
      </c>
      <c r="CK91" s="190" t="s">
        <v>2173</v>
      </c>
      <c r="CL91" s="190" t="s">
        <v>2173</v>
      </c>
      <c r="CM91" s="190" t="s">
        <v>2173</v>
      </c>
      <c r="CN91" s="190" t="s">
        <v>2173</v>
      </c>
      <c r="CO91" s="190" t="s">
        <v>2173</v>
      </c>
      <c r="CP91" s="190" t="s">
        <v>2173</v>
      </c>
      <c r="CQ91" s="190" t="s">
        <v>2173</v>
      </c>
      <c r="CR91" s="190" t="s">
        <v>2173</v>
      </c>
      <c r="CS91" s="190" t="s">
        <v>2173</v>
      </c>
      <c r="CT91" s="190" t="s">
        <v>2173</v>
      </c>
      <c r="CU91" s="190" t="s">
        <v>2173</v>
      </c>
      <c r="CV91" s="190" t="s">
        <v>2173</v>
      </c>
      <c r="CW91" s="190" t="s">
        <v>2173</v>
      </c>
      <c r="CX91" s="190" t="s">
        <v>2173</v>
      </c>
      <c r="CY91" s="190" t="s">
        <v>2173</v>
      </c>
      <c r="CZ91" s="5"/>
      <c r="DA91" s="190"/>
      <c r="DB91" s="190"/>
      <c r="DC91" s="190"/>
      <c r="DD91" s="190"/>
      <c r="DE91" s="190"/>
      <c r="DF91" s="190"/>
    </row>
    <row r="92" spans="1:110" ht="13.8" hidden="1" customHeight="1" outlineLevel="1">
      <c r="A92" s="190" t="s">
        <v>1266</v>
      </c>
      <c r="B92" s="190"/>
      <c r="C92" s="190"/>
      <c r="D92" s="190"/>
      <c r="E92" s="190"/>
      <c r="F92" s="190"/>
      <c r="G92" s="190"/>
      <c r="H92" s="190"/>
      <c r="I92" s="190"/>
      <c r="J92" s="190"/>
      <c r="K92" s="190"/>
      <c r="L92" s="190"/>
      <c r="M92" s="193"/>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c r="CG92" s="190"/>
      <c r="CH92" s="190"/>
      <c r="CI92" s="190"/>
      <c r="CJ92" s="190"/>
      <c r="CK92" s="190"/>
      <c r="CL92" s="190"/>
      <c r="CM92" s="190"/>
      <c r="CN92" s="190"/>
      <c r="CO92" s="190"/>
      <c r="CP92" s="190"/>
      <c r="CQ92" s="190"/>
      <c r="CR92" s="190"/>
      <c r="CS92" s="190"/>
      <c r="CT92" s="190"/>
      <c r="CU92" s="190"/>
      <c r="CV92" s="190"/>
      <c r="CW92" s="190"/>
      <c r="CX92" s="190"/>
      <c r="CY92" s="190"/>
      <c r="CZ92" s="5"/>
      <c r="DA92" s="190"/>
      <c r="DB92" s="190"/>
      <c r="DC92" s="190"/>
      <c r="DD92" s="190"/>
      <c r="DE92" s="190"/>
      <c r="DF92" s="190"/>
    </row>
    <row r="93" spans="1:110" ht="13.8" hidden="1" customHeight="1" outlineLevel="1">
      <c r="A93" s="194" t="s">
        <v>1266</v>
      </c>
      <c r="B93" s="194"/>
      <c r="C93" s="194"/>
      <c r="D93" s="194"/>
      <c r="E93" s="194"/>
      <c r="F93" s="194"/>
      <c r="G93" s="194"/>
      <c r="H93" s="194"/>
      <c r="I93" s="194"/>
      <c r="J93" s="194"/>
      <c r="K93" s="194"/>
      <c r="L93" s="194" t="s">
        <v>1566</v>
      </c>
      <c r="M93" s="194" t="s">
        <v>1566</v>
      </c>
      <c r="N93" s="194" t="s">
        <v>1566</v>
      </c>
      <c r="O93" s="194" t="s">
        <v>1566</v>
      </c>
      <c r="P93" s="194" t="s">
        <v>1566</v>
      </c>
      <c r="Q93" s="194" t="s">
        <v>1566</v>
      </c>
      <c r="R93" s="194" t="s">
        <v>1566</v>
      </c>
      <c r="S93" s="194" t="s">
        <v>1566</v>
      </c>
      <c r="T93" s="194" t="s">
        <v>1566</v>
      </c>
      <c r="U93" s="194" t="s">
        <v>1566</v>
      </c>
      <c r="V93" s="194" t="s">
        <v>1566</v>
      </c>
      <c r="W93" s="194" t="s">
        <v>1566</v>
      </c>
      <c r="X93" s="194" t="s">
        <v>1566</v>
      </c>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5"/>
      <c r="DA93" s="194"/>
      <c r="DB93" s="194"/>
      <c r="DC93" s="194"/>
      <c r="DD93" s="194"/>
      <c r="DE93" s="194"/>
      <c r="DF93" s="194"/>
    </row>
    <row r="94" spans="1:110" ht="13.8" hidden="1" customHeight="1" outlineLevel="1">
      <c r="A94" s="195" t="s">
        <v>2067</v>
      </c>
      <c r="B94" s="195"/>
      <c r="C94" s="195"/>
      <c r="D94" s="195"/>
      <c r="E94" s="195"/>
      <c r="F94" s="195"/>
      <c r="G94" s="195"/>
      <c r="H94" s="195"/>
      <c r="I94" s="195"/>
      <c r="J94" s="195"/>
      <c r="K94" s="195"/>
      <c r="L94" s="195"/>
      <c r="M94" s="196"/>
      <c r="N94" s="195">
        <v>3000</v>
      </c>
      <c r="O94" s="195"/>
      <c r="P94" s="195"/>
      <c r="Q94" s="195"/>
      <c r="R94" s="195"/>
      <c r="S94" s="195">
        <v>100</v>
      </c>
      <c r="T94" s="195">
        <v>1</v>
      </c>
      <c r="U94" s="195">
        <v>3000</v>
      </c>
      <c r="V94" s="195">
        <v>10</v>
      </c>
      <c r="W94" s="195"/>
      <c r="X94" s="195">
        <v>10</v>
      </c>
      <c r="Y94" s="195">
        <v>100</v>
      </c>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5"/>
      <c r="DA94" s="195"/>
      <c r="DB94" s="195"/>
      <c r="DC94" s="195"/>
      <c r="DD94" s="195"/>
      <c r="DE94" s="195"/>
      <c r="DF94" s="195"/>
    </row>
    <row r="95" spans="1:110" ht="13.8" hidden="1" customHeight="1" outlineLevel="1">
      <c r="A95" s="195" t="s">
        <v>2068</v>
      </c>
      <c r="B95" s="195"/>
      <c r="C95" s="195"/>
      <c r="D95" s="195"/>
      <c r="E95" s="195"/>
      <c r="F95" s="195"/>
      <c r="G95" s="195"/>
      <c r="H95" s="195"/>
      <c r="I95" s="195"/>
      <c r="J95" s="195"/>
      <c r="K95" s="195"/>
      <c r="L95" s="195"/>
      <c r="M95" s="196"/>
      <c r="N95" s="195">
        <v>0</v>
      </c>
      <c r="O95" s="195"/>
      <c r="P95" s="195"/>
      <c r="Q95" s="195"/>
      <c r="R95" s="195"/>
      <c r="S95" s="195">
        <v>0</v>
      </c>
      <c r="T95" s="195">
        <v>0</v>
      </c>
      <c r="U95" s="195">
        <v>1000</v>
      </c>
      <c r="V95" s="195">
        <v>0</v>
      </c>
      <c r="W95" s="195"/>
      <c r="X95" s="195">
        <v>0</v>
      </c>
      <c r="Y95" s="195">
        <v>0</v>
      </c>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5"/>
      <c r="DA95" s="195"/>
      <c r="DB95" s="195"/>
      <c r="DC95" s="195"/>
      <c r="DD95" s="195"/>
      <c r="DE95" s="195"/>
      <c r="DF95" s="195"/>
    </row>
    <row r="96" spans="1:110" ht="13.8" customHeight="1" collapsed="1">
      <c r="A96" s="197" t="s">
        <v>2069</v>
      </c>
      <c r="B96" s="197"/>
      <c r="C96" s="161"/>
      <c r="D96" s="161"/>
      <c r="E96" s="161"/>
      <c r="F96" s="161"/>
      <c r="G96" s="161"/>
      <c r="H96" s="161"/>
      <c r="I96" s="161"/>
      <c r="J96" s="161"/>
      <c r="K96" s="161"/>
      <c r="L96" s="155"/>
      <c r="M96" s="155"/>
      <c r="N96" s="155"/>
      <c r="O96" s="155"/>
      <c r="P96" s="155"/>
      <c r="Q96" s="155"/>
      <c r="R96" s="155"/>
      <c r="S96" s="155" t="s">
        <v>42</v>
      </c>
      <c r="T96" s="155"/>
      <c r="U96" s="155"/>
      <c r="V96" s="155" t="s">
        <v>45</v>
      </c>
      <c r="W96" s="155"/>
      <c r="X96" s="155" t="s">
        <v>46</v>
      </c>
      <c r="Y96" s="155" t="s">
        <v>47</v>
      </c>
      <c r="Z96" s="155"/>
      <c r="AA96" s="155"/>
      <c r="AB96" s="155"/>
      <c r="AC96" s="155" t="s">
        <v>47</v>
      </c>
      <c r="AD96" s="155" t="s">
        <v>47</v>
      </c>
      <c r="AE96" s="155" t="s">
        <v>47</v>
      </c>
      <c r="AF96" s="155" t="s">
        <v>47</v>
      </c>
      <c r="AG96" s="155" t="s">
        <v>47</v>
      </c>
      <c r="AH96" s="155"/>
      <c r="AI96" s="155"/>
      <c r="AJ96" s="155"/>
      <c r="AK96" s="155"/>
      <c r="AL96" s="155"/>
      <c r="AM96" s="155" t="s">
        <v>42</v>
      </c>
      <c r="AN96" s="155" t="s">
        <v>42</v>
      </c>
      <c r="AO96" s="155" t="s">
        <v>45</v>
      </c>
      <c r="AP96" s="155" t="s">
        <v>45</v>
      </c>
      <c r="AQ96" s="155"/>
      <c r="AR96" s="155"/>
      <c r="AS96" s="155"/>
      <c r="AT96" s="155"/>
      <c r="AU96" s="155"/>
      <c r="AV96" s="155"/>
      <c r="AW96" s="155"/>
      <c r="AX96" s="155" t="s">
        <v>47</v>
      </c>
      <c r="AY96" s="155" t="s">
        <v>47</v>
      </c>
      <c r="AZ96" s="155" t="s">
        <v>47</v>
      </c>
      <c r="BA96" s="155" t="s">
        <v>46</v>
      </c>
      <c r="BB96" s="155" t="s">
        <v>46</v>
      </c>
      <c r="BC96" s="155"/>
      <c r="BD96" s="155"/>
      <c r="BE96" s="155"/>
      <c r="BF96" s="155"/>
      <c r="BG96" s="155"/>
      <c r="BH96" s="155"/>
      <c r="BI96" s="155"/>
      <c r="BJ96" s="155"/>
      <c r="BK96" s="155"/>
      <c r="BL96" s="155"/>
      <c r="BM96" s="155"/>
      <c r="BN96" s="155" t="s">
        <v>42</v>
      </c>
      <c r="BO96" s="155"/>
      <c r="BP96" s="155"/>
      <c r="BQ96" s="155"/>
      <c r="BR96" s="155"/>
      <c r="BS96" s="155"/>
      <c r="BT96" s="155"/>
      <c r="BU96" s="155"/>
      <c r="BV96" s="155"/>
      <c r="BW96" s="155" t="s">
        <v>46</v>
      </c>
      <c r="BX96" s="155" t="s">
        <v>46</v>
      </c>
      <c r="BY96" s="155" t="s">
        <v>46</v>
      </c>
      <c r="BZ96" s="155" t="s">
        <v>46</v>
      </c>
      <c r="CA96" s="155" t="s">
        <v>46</v>
      </c>
      <c r="CB96" s="155"/>
      <c r="CC96" s="155"/>
      <c r="CD96" s="155"/>
      <c r="CE96" s="155"/>
      <c r="CF96" s="155"/>
      <c r="CG96" s="155" t="s">
        <v>46</v>
      </c>
      <c r="CH96" s="155"/>
      <c r="CI96" s="155" t="s">
        <v>42</v>
      </c>
      <c r="CJ96" s="155" t="s">
        <v>45</v>
      </c>
      <c r="CK96" s="155" t="s">
        <v>46</v>
      </c>
      <c r="CL96" s="155"/>
      <c r="CM96" s="155"/>
      <c r="CN96" s="155"/>
      <c r="CO96" s="155"/>
      <c r="CP96" s="155"/>
      <c r="CQ96" s="155" t="s">
        <v>46</v>
      </c>
      <c r="CR96" s="155"/>
      <c r="CS96" s="155" t="s">
        <v>42</v>
      </c>
      <c r="CT96" s="155" t="s">
        <v>45</v>
      </c>
      <c r="CU96" s="155" t="s">
        <v>46</v>
      </c>
      <c r="CV96" s="155"/>
      <c r="CW96" s="155"/>
      <c r="CX96" s="155"/>
      <c r="CY96" s="155"/>
      <c r="CZ96" s="5"/>
      <c r="DA96" s="155"/>
      <c r="DB96" s="155"/>
      <c r="DC96" s="155"/>
      <c r="DD96" s="155"/>
      <c r="DE96" s="155"/>
      <c r="DF96" s="155"/>
    </row>
    <row r="97" spans="1:110" s="11" customFormat="1" ht="13.8" hidden="1" customHeight="1" outlineLevel="1">
      <c r="A97" s="190" t="s">
        <v>2070</v>
      </c>
      <c r="B97" s="190"/>
      <c r="C97" s="190"/>
      <c r="D97" s="190"/>
      <c r="E97" s="190"/>
      <c r="F97" s="190"/>
      <c r="G97" s="190"/>
      <c r="H97" s="190"/>
      <c r="I97" s="190"/>
      <c r="J97" s="190"/>
      <c r="K97" s="190"/>
      <c r="L97" s="191">
        <v>2</v>
      </c>
      <c r="M97" s="191">
        <v>2</v>
      </c>
      <c r="N97" s="191">
        <v>1</v>
      </c>
      <c r="O97" s="191">
        <v>2</v>
      </c>
      <c r="P97" s="191">
        <v>2</v>
      </c>
      <c r="Q97" s="191">
        <v>2</v>
      </c>
      <c r="R97" s="191">
        <v>2</v>
      </c>
      <c r="S97" s="191">
        <v>1</v>
      </c>
      <c r="T97" s="191">
        <v>1</v>
      </c>
      <c r="U97" s="191">
        <v>2</v>
      </c>
      <c r="V97" s="191">
        <v>1</v>
      </c>
      <c r="W97" s="191">
        <v>2</v>
      </c>
      <c r="X97" s="191">
        <v>2</v>
      </c>
      <c r="Y97" s="191">
        <v>2</v>
      </c>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DA97" s="191"/>
      <c r="DB97" s="191"/>
      <c r="DC97" s="191"/>
      <c r="DD97" s="191"/>
      <c r="DE97" s="191"/>
      <c r="DF97" s="191"/>
    </row>
    <row r="98" spans="1:110" s="11" customFormat="1" ht="13.8" hidden="1" customHeight="1" outlineLevel="1">
      <c r="A98" s="190" t="s">
        <v>2071</v>
      </c>
      <c r="B98" s="190"/>
      <c r="C98" s="190"/>
      <c r="D98" s="190"/>
      <c r="E98" s="190"/>
      <c r="F98" s="190"/>
      <c r="G98" s="190"/>
      <c r="H98" s="190"/>
      <c r="I98" s="190" t="s">
        <v>2143</v>
      </c>
      <c r="J98" s="190" t="s">
        <v>150</v>
      </c>
      <c r="K98" s="190" t="s">
        <v>165</v>
      </c>
      <c r="L98" s="190" t="s">
        <v>1512</v>
      </c>
      <c r="M98" s="190" t="s">
        <v>2009</v>
      </c>
      <c r="N98" s="190"/>
      <c r="O98" s="190" t="s">
        <v>1044</v>
      </c>
      <c r="P98" s="190" t="s">
        <v>1044</v>
      </c>
      <c r="Q98" s="190" t="s">
        <v>421</v>
      </c>
      <c r="R98" s="190" t="s">
        <v>56</v>
      </c>
      <c r="S98" s="190"/>
      <c r="T98" s="190"/>
      <c r="U98" s="190"/>
      <c r="V98" s="190"/>
      <c r="W98" s="190" t="s">
        <v>57</v>
      </c>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190"/>
      <c r="BU98" s="190"/>
      <c r="BV98" s="190"/>
      <c r="BW98" s="190"/>
      <c r="BX98" s="190"/>
      <c r="BY98" s="190"/>
      <c r="BZ98" s="190"/>
      <c r="CA98" s="190"/>
      <c r="CB98" s="190"/>
      <c r="CC98" s="190"/>
      <c r="CD98" s="190"/>
      <c r="CE98" s="190"/>
      <c r="CF98" s="190"/>
      <c r="CG98" s="190"/>
      <c r="CH98" s="190"/>
      <c r="CI98" s="190"/>
      <c r="CJ98" s="190"/>
      <c r="CK98" s="190"/>
      <c r="CL98" s="190"/>
      <c r="CM98" s="190"/>
      <c r="CN98" s="190"/>
      <c r="CO98" s="190"/>
      <c r="CP98" s="190"/>
      <c r="CQ98" s="190"/>
      <c r="CR98" s="190"/>
      <c r="CS98" s="190"/>
      <c r="CT98" s="190"/>
      <c r="CU98" s="190"/>
      <c r="CV98" s="190"/>
      <c r="CW98" s="190"/>
      <c r="CX98" s="190"/>
      <c r="CY98" s="190"/>
      <c r="DA98" s="190"/>
      <c r="DB98" s="190"/>
      <c r="DC98" s="190"/>
      <c r="DD98" s="190"/>
      <c r="DE98" s="190"/>
      <c r="DF98" s="190"/>
    </row>
    <row r="99" spans="1:110" s="11" customFormat="1" ht="13.8" hidden="1" customHeight="1" outlineLevel="1">
      <c r="A99" s="192" t="s">
        <v>95</v>
      </c>
      <c r="B99" s="192"/>
      <c r="C99" s="192" t="s">
        <v>97</v>
      </c>
      <c r="D99" s="192" t="s">
        <v>97</v>
      </c>
      <c r="E99" s="192" t="s">
        <v>97</v>
      </c>
      <c r="F99" s="192" t="s">
        <v>97</v>
      </c>
      <c r="G99" s="192" t="s">
        <v>97</v>
      </c>
      <c r="H99" s="192" t="s">
        <v>97</v>
      </c>
      <c r="I99" s="192" t="s">
        <v>95</v>
      </c>
      <c r="J99" s="192" t="s">
        <v>95</v>
      </c>
      <c r="K99" s="192" t="s">
        <v>95</v>
      </c>
      <c r="L99" s="192" t="s">
        <v>95</v>
      </c>
      <c r="M99" s="192" t="s">
        <v>95</v>
      </c>
      <c r="N99" s="192" t="s">
        <v>96</v>
      </c>
      <c r="O99" s="192" t="s">
        <v>2053</v>
      </c>
      <c r="P99" s="192" t="s">
        <v>2053</v>
      </c>
      <c r="Q99" s="192" t="s">
        <v>95</v>
      </c>
      <c r="R99" s="192" t="s">
        <v>95</v>
      </c>
      <c r="S99" s="192" t="s">
        <v>98</v>
      </c>
      <c r="T99" s="192" t="s">
        <v>98</v>
      </c>
      <c r="U99" s="192" t="s">
        <v>96</v>
      </c>
      <c r="V99" s="192" t="s">
        <v>98</v>
      </c>
      <c r="W99" s="192" t="s">
        <v>95</v>
      </c>
      <c r="X99" s="192" t="s">
        <v>98</v>
      </c>
      <c r="Y99" s="192" t="s">
        <v>98</v>
      </c>
      <c r="Z99" s="192" t="s">
        <v>96</v>
      </c>
      <c r="AA99" s="192" t="s">
        <v>96</v>
      </c>
      <c r="AB99" s="192" t="s">
        <v>96</v>
      </c>
      <c r="AC99" s="192" t="s">
        <v>98</v>
      </c>
      <c r="AD99" s="192" t="s">
        <v>98</v>
      </c>
      <c r="AE99" s="192" t="s">
        <v>98</v>
      </c>
      <c r="AF99" s="192" t="s">
        <v>98</v>
      </c>
      <c r="AG99" s="192" t="s">
        <v>98</v>
      </c>
      <c r="AH99" s="192" t="s">
        <v>95</v>
      </c>
      <c r="AI99" s="192" t="s">
        <v>95</v>
      </c>
      <c r="AJ99" s="192" t="s">
        <v>96</v>
      </c>
      <c r="AK99" s="192" t="s">
        <v>96</v>
      </c>
      <c r="AL99" s="192" t="s">
        <v>96</v>
      </c>
      <c r="AM99" s="192" t="s">
        <v>98</v>
      </c>
      <c r="AN99" s="192" t="s">
        <v>98</v>
      </c>
      <c r="AO99" s="192" t="s">
        <v>98</v>
      </c>
      <c r="AP99" s="192" t="s">
        <v>98</v>
      </c>
      <c r="AQ99" s="192" t="s">
        <v>95</v>
      </c>
      <c r="AR99" s="192" t="s">
        <v>96</v>
      </c>
      <c r="AS99" s="192" t="s">
        <v>98</v>
      </c>
      <c r="AT99" s="192" t="s">
        <v>95</v>
      </c>
      <c r="AU99" s="192" t="s">
        <v>96</v>
      </c>
      <c r="AV99" s="192" t="s">
        <v>98</v>
      </c>
      <c r="AW99" s="192" t="s">
        <v>98</v>
      </c>
      <c r="AX99" s="192" t="s">
        <v>98</v>
      </c>
      <c r="AY99" s="192" t="s">
        <v>98</v>
      </c>
      <c r="AZ99" s="192" t="s">
        <v>98</v>
      </c>
      <c r="BA99" s="192" t="s">
        <v>98</v>
      </c>
      <c r="BB99" s="192" t="s">
        <v>98</v>
      </c>
      <c r="BC99" s="192" t="s">
        <v>95</v>
      </c>
      <c r="BD99" s="192" t="s">
        <v>97</v>
      </c>
      <c r="BE99" s="192" t="s">
        <v>98</v>
      </c>
      <c r="BF99" s="192" t="s">
        <v>95</v>
      </c>
      <c r="BG99" s="192" t="s">
        <v>97</v>
      </c>
      <c r="BH99" s="192" t="s">
        <v>98</v>
      </c>
      <c r="BI99" s="192" t="s">
        <v>95</v>
      </c>
      <c r="BJ99" s="192" t="s">
        <v>98</v>
      </c>
      <c r="BK99" s="192" t="s">
        <v>95</v>
      </c>
      <c r="BL99" s="192" t="s">
        <v>97</v>
      </c>
      <c r="BM99" s="192" t="s">
        <v>98</v>
      </c>
      <c r="BN99" s="192" t="s">
        <v>98</v>
      </c>
      <c r="BO99" s="192" t="s">
        <v>98</v>
      </c>
      <c r="BP99" s="192" t="s">
        <v>95</v>
      </c>
      <c r="BQ99" s="192" t="s">
        <v>97</v>
      </c>
      <c r="BR99" s="192" t="s">
        <v>98</v>
      </c>
      <c r="BS99" s="192" t="s">
        <v>95</v>
      </c>
      <c r="BT99" s="192" t="s">
        <v>97</v>
      </c>
      <c r="BU99" s="192" t="s">
        <v>98</v>
      </c>
      <c r="BV99" s="192" t="s">
        <v>98</v>
      </c>
      <c r="BW99" s="192" t="s">
        <v>98</v>
      </c>
      <c r="BX99" s="192" t="s">
        <v>98</v>
      </c>
      <c r="BY99" s="192" t="s">
        <v>98</v>
      </c>
      <c r="BZ99" s="192" t="s">
        <v>98</v>
      </c>
      <c r="CA99" s="192" t="s">
        <v>98</v>
      </c>
      <c r="CB99" s="192" t="s">
        <v>98</v>
      </c>
      <c r="CC99" s="192" t="s">
        <v>98</v>
      </c>
      <c r="CD99" s="192" t="s">
        <v>98</v>
      </c>
      <c r="CE99" s="192" t="s">
        <v>98</v>
      </c>
      <c r="CF99" s="192" t="s">
        <v>98</v>
      </c>
      <c r="CG99" s="192" t="s">
        <v>98</v>
      </c>
      <c r="CH99" s="192" t="s">
        <v>98</v>
      </c>
      <c r="CI99" s="192" t="s">
        <v>98</v>
      </c>
      <c r="CJ99" s="192" t="s">
        <v>98</v>
      </c>
      <c r="CK99" s="192" t="s">
        <v>98</v>
      </c>
      <c r="CL99" s="192" t="s">
        <v>98</v>
      </c>
      <c r="CM99" s="192" t="s">
        <v>98</v>
      </c>
      <c r="CN99" s="192" t="s">
        <v>98</v>
      </c>
      <c r="CO99" s="192" t="s">
        <v>98</v>
      </c>
      <c r="CP99" s="192" t="s">
        <v>98</v>
      </c>
      <c r="CQ99" s="192" t="s">
        <v>98</v>
      </c>
      <c r="CR99" s="192" t="s">
        <v>98</v>
      </c>
      <c r="CS99" s="192" t="s">
        <v>98</v>
      </c>
      <c r="CT99" s="192" t="s">
        <v>98</v>
      </c>
      <c r="CU99" s="192" t="s">
        <v>98</v>
      </c>
      <c r="CV99" s="192" t="s">
        <v>98</v>
      </c>
      <c r="CW99" s="192" t="s">
        <v>98</v>
      </c>
      <c r="CX99" s="192" t="s">
        <v>98</v>
      </c>
      <c r="CY99" s="192" t="s">
        <v>98</v>
      </c>
      <c r="DA99" s="192"/>
      <c r="DB99" s="192"/>
      <c r="DC99" s="192"/>
      <c r="DD99" s="192"/>
      <c r="DE99" s="192"/>
      <c r="DF99" s="192"/>
    </row>
    <row r="100" spans="1:110" s="11" customFormat="1" ht="13.8" hidden="1" customHeight="1" outlineLevel="1">
      <c r="A100" s="192" t="s">
        <v>2072</v>
      </c>
      <c r="B100" s="192"/>
      <c r="C100" s="192"/>
      <c r="D100" s="192"/>
      <c r="E100" s="192"/>
      <c r="F100" s="192"/>
      <c r="G100" s="192"/>
      <c r="H100" s="192"/>
      <c r="I100" s="192"/>
      <c r="J100" s="192"/>
      <c r="K100" s="192"/>
      <c r="L100" s="192"/>
      <c r="M100" s="192"/>
      <c r="N100" s="192"/>
      <c r="O100" s="192"/>
      <c r="P100" s="192"/>
      <c r="Q100" s="192"/>
      <c r="R100" s="192"/>
      <c r="S100" s="192">
        <v>1</v>
      </c>
      <c r="T100" s="192">
        <v>2</v>
      </c>
      <c r="U100" s="192"/>
      <c r="V100" s="192">
        <v>3</v>
      </c>
      <c r="W100" s="192"/>
      <c r="X100" s="192">
        <v>3</v>
      </c>
      <c r="Y100" s="192">
        <v>2</v>
      </c>
      <c r="Z100" s="192"/>
      <c r="AA100" s="192"/>
      <c r="AB100" s="192"/>
      <c r="AC100" s="192">
        <v>2</v>
      </c>
      <c r="AD100" s="192">
        <v>2</v>
      </c>
      <c r="AE100" s="192">
        <v>2</v>
      </c>
      <c r="AF100" s="192">
        <v>2</v>
      </c>
      <c r="AG100" s="192">
        <v>2</v>
      </c>
      <c r="AH100" s="192"/>
      <c r="AI100" s="192"/>
      <c r="AJ100" s="192"/>
      <c r="AK100" s="192"/>
      <c r="AL100" s="192"/>
      <c r="AM100" s="192">
        <v>1</v>
      </c>
      <c r="AN100" s="192">
        <v>1</v>
      </c>
      <c r="AO100" s="192">
        <v>3</v>
      </c>
      <c r="AP100" s="192">
        <v>3</v>
      </c>
      <c r="AQ100" s="192"/>
      <c r="AR100" s="192"/>
      <c r="AS100" s="192">
        <v>2</v>
      </c>
      <c r="AT100" s="192"/>
      <c r="AU100" s="192"/>
      <c r="AV100" s="192">
        <v>2</v>
      </c>
      <c r="AW100" s="192">
        <v>2</v>
      </c>
      <c r="AX100" s="192">
        <v>3</v>
      </c>
      <c r="AY100" s="192">
        <v>3</v>
      </c>
      <c r="AZ100" s="192">
        <v>3</v>
      </c>
      <c r="BA100" s="192">
        <v>3</v>
      </c>
      <c r="BB100" s="192">
        <v>3</v>
      </c>
      <c r="BC100" s="192"/>
      <c r="BD100" s="192"/>
      <c r="BE100" s="192">
        <v>2</v>
      </c>
      <c r="BF100" s="192"/>
      <c r="BG100" s="192"/>
      <c r="BH100" s="192">
        <v>2</v>
      </c>
      <c r="BI100" s="192"/>
      <c r="BJ100" s="192">
        <v>2</v>
      </c>
      <c r="BK100" s="192"/>
      <c r="BL100" s="192"/>
      <c r="BM100" s="192">
        <v>2</v>
      </c>
      <c r="BN100" s="192">
        <v>1</v>
      </c>
      <c r="BO100" s="192">
        <v>2</v>
      </c>
      <c r="BP100" s="192"/>
      <c r="BQ100" s="192"/>
      <c r="BR100" s="192">
        <v>2</v>
      </c>
      <c r="BS100" s="192"/>
      <c r="BT100" s="192"/>
      <c r="BU100" s="192">
        <v>2</v>
      </c>
      <c r="BV100" s="192">
        <v>2</v>
      </c>
      <c r="BW100" s="192">
        <v>2</v>
      </c>
      <c r="BX100" s="192">
        <v>2</v>
      </c>
      <c r="BY100" s="192">
        <v>2</v>
      </c>
      <c r="BZ100" s="192">
        <v>3</v>
      </c>
      <c r="CA100" s="192">
        <v>3</v>
      </c>
      <c r="CB100" s="192">
        <v>2</v>
      </c>
      <c r="CC100" s="192">
        <v>2</v>
      </c>
      <c r="CD100" s="192">
        <v>2</v>
      </c>
      <c r="CE100" s="192">
        <v>2</v>
      </c>
      <c r="CF100" s="192">
        <v>2</v>
      </c>
      <c r="CG100" s="192">
        <v>2</v>
      </c>
      <c r="CH100" s="192">
        <v>2</v>
      </c>
      <c r="CI100" s="192">
        <v>1</v>
      </c>
      <c r="CJ100" s="192">
        <v>3</v>
      </c>
      <c r="CK100" s="192">
        <v>3</v>
      </c>
      <c r="CL100" s="192">
        <v>2</v>
      </c>
      <c r="CM100" s="192">
        <v>2</v>
      </c>
      <c r="CN100" s="192">
        <v>2</v>
      </c>
      <c r="CO100" s="192">
        <v>2</v>
      </c>
      <c r="CP100" s="192">
        <v>2</v>
      </c>
      <c r="CQ100" s="192">
        <v>2</v>
      </c>
      <c r="CR100" s="192">
        <v>2</v>
      </c>
      <c r="CS100" s="192">
        <v>1</v>
      </c>
      <c r="CT100" s="192">
        <v>3</v>
      </c>
      <c r="CU100" s="192">
        <v>3</v>
      </c>
      <c r="CV100" s="192">
        <v>2</v>
      </c>
      <c r="CW100" s="192">
        <v>2</v>
      </c>
      <c r="CX100" s="192">
        <v>2</v>
      </c>
      <c r="CY100" s="192">
        <v>2</v>
      </c>
      <c r="DA100" s="192"/>
      <c r="DB100" s="192"/>
      <c r="DC100" s="192"/>
      <c r="DD100" s="192"/>
      <c r="DE100" s="192"/>
      <c r="DF100" s="192"/>
    </row>
    <row r="101" spans="1:110" s="8" customFormat="1" ht="32.4" customHeight="1" collapsed="1">
      <c r="A101" s="206" t="s">
        <v>547</v>
      </c>
      <c r="B101" s="208" t="s">
        <v>2340</v>
      </c>
      <c r="C101" s="206" t="s">
        <v>173</v>
      </c>
      <c r="D101" s="206"/>
      <c r="E101" s="206"/>
      <c r="F101" s="206"/>
      <c r="G101" s="206" t="s">
        <v>2170</v>
      </c>
      <c r="H101" s="206" t="s">
        <v>2171</v>
      </c>
      <c r="I101" s="156" t="s">
        <v>80</v>
      </c>
      <c r="J101" s="156" t="s">
        <v>134</v>
      </c>
      <c r="K101" s="156" t="s">
        <v>155</v>
      </c>
      <c r="L101" s="156" t="s">
        <v>190</v>
      </c>
      <c r="M101" s="156" t="s">
        <v>188</v>
      </c>
      <c r="N101" s="7" t="e">
        <v>#N/A</v>
      </c>
      <c r="O101" s="156" t="e">
        <v>#N/A</v>
      </c>
      <c r="P101" s="156" t="e">
        <v>#N/A</v>
      </c>
      <c r="Q101" s="156" t="s">
        <v>435</v>
      </c>
      <c r="R101" s="156" t="s">
        <v>41</v>
      </c>
      <c r="S101" s="19" t="e">
        <v>#N/A</v>
      </c>
      <c r="T101" s="19" t="e">
        <v>#N/A</v>
      </c>
      <c r="U101" s="19" t="e">
        <v>#N/A</v>
      </c>
      <c r="V101" s="19" t="e">
        <v>#N/A</v>
      </c>
      <c r="W101" s="28" t="s">
        <v>41</v>
      </c>
      <c r="X101" s="19" t="e">
        <v>#N/A</v>
      </c>
      <c r="Y101" s="105">
        <f ca="1">IFERROR(OFFSET(Tab.Const.ConstrBorder!$A$1,MATCH(Q101,Tab.Const.ConstrBorder!$A:$A,0)-1,MATCH(Y$87,Tab.Const.ConstrBorder!$1:$1,0)-1),0)</f>
        <v>0</v>
      </c>
      <c r="Z101" s="18">
        <f>IFERROR(IF(OR(N101="",N101=0),#N/A,N101),Z$88)</f>
        <v>1963</v>
      </c>
      <c r="AA101" s="17">
        <f>MATCH(Z101,Tab.Year.Period!$11:$11,1)-3</f>
        <v>5</v>
      </c>
      <c r="AB101" s="17">
        <f>MATCH(AB$88&amp;"."&amp;TEXT(AA101,"00"),Tab.U.Default!$A:$A,0)</f>
        <v>28</v>
      </c>
      <c r="AC101" s="105">
        <f ca="1">OFFSET(Tab.U.Default!$A$1,$AB101-1,MATCH("U_Class_"&amp;IF($J101="TopCeiling","UpperCeiling",$J101)&amp;"_"&amp;AC$87,Tab.U.Default!$1:$1,0)-1)</f>
        <v>1.2</v>
      </c>
      <c r="AD101" s="105">
        <f ca="1">OFFSET(Tab.U.Default!$A$1,$AB101-1,MATCH("U_Class_"&amp;IF($J101="TopCeiling","UpperCeiling",$J101)&amp;"_"&amp;AD$87,Tab.U.Default!$1:$1,0)-1)</f>
        <v>1.2</v>
      </c>
      <c r="AE101" s="105">
        <f ca="1">OFFSET(Tab.U.Default!$A$1,$AB101-1,MATCH("U_Class_"&amp;IF($J101="TopCeiling","UpperCeiling",$J101)&amp;"_"&amp;AE$87,Tab.U.Default!$1:$1,0)-1)</f>
        <v>0.8</v>
      </c>
      <c r="AF101" s="26">
        <f t="shared" ref="AF101:AF155" ca="1" si="0">IF(AND(NOT(M101="Manual"),ISNA(IF(X101="",#N/A,X101))),IF(IFERROR(IF(O101="",#N/A,O101),0)=1,IF(IFERROR(IF(P101="",#N/A,P101),0)=1,AVERAGE(AD101:AE101),AD101),IF(IFERROR(IF(P101="",#N/A,P101),0)=1,AE101,AC101)),X101)</f>
        <v>1.2</v>
      </c>
      <c r="AG101" s="26">
        <f t="shared" ref="AG101:AG130" ca="1" si="1">1/(1/AF101+Y101)</f>
        <v>1.2</v>
      </c>
      <c r="AH101" s="18" t="str">
        <f t="shared" ref="AH101:AH132" si="2">IF(R101&lt;&gt;"_NA_",R101,IF(Z101&lt;AH$88,"Refurbish","Original"))</f>
        <v>Refurbish</v>
      </c>
      <c r="AI101" s="18" t="str">
        <f>IF(W101&lt;&gt;"_NA_",W101,IF(R101="Original","ReplaceInsulation","Add"))</f>
        <v>Add</v>
      </c>
      <c r="AJ101" s="18">
        <f t="shared" ref="AJ101:AJ155" si="3">IFERROR(IF(U101="",#N/A,U101),IF(OR(Z101&gt;=AJ$88,R101="Original"),Z101,AJ$88))</f>
        <v>1995</v>
      </c>
      <c r="AK101" s="17">
        <f>MATCH(AJ101,Tab.Year.Period!$11:$11,1)-3</f>
        <v>9</v>
      </c>
      <c r="AL101" s="17">
        <f>MATCH(AL$88&amp;"."&amp;TEXT(AK101,"00"),Tab.Insulation.Default!$A:$A,0)</f>
        <v>20</v>
      </c>
      <c r="AM101" s="20">
        <f ca="1">IF(ISNA(IF(S101="",#N/A,S101)),OFFSET(Tab.Insulation.Default!$A$1,$AL101-1,MATCH(AM$87&amp;"_"&amp;$K101,Tab.Insulation.Default!$1:$1,0)-1),#N/A)</f>
        <v>8</v>
      </c>
      <c r="AN101" s="27">
        <f ca="1">IFERROR(IF(S101="",#N/A,S101),IF(OR(R101="Refurbish",R101="_NA_"),AM101,0))</f>
        <v>8</v>
      </c>
      <c r="AO101" s="22">
        <f ca="1">IF(ISNA(IF(V101="",#N/A,V101)),OFFSET(Tab.Insulation.Default!$A$1,$AL101-1,MATCH(AO$87&amp;"_"&amp;$K101,Tab.Insulation.Default!$1:$1,0)-1),#N/A)</f>
        <v>0.04</v>
      </c>
      <c r="AP101" s="23">
        <f ca="1">IFERROR(IF(V101="",#N/A,V101),AO101)</f>
        <v>0.04</v>
      </c>
      <c r="AQ101" s="29" t="str">
        <f t="shared" ref="AQ101:AQ132" si="4">"Gen.Refurbished."&amp;TEXT(AK101,"00")</f>
        <v>Gen.Refurbished.09</v>
      </c>
      <c r="AR101" s="17">
        <f>MATCH(AR$88&amp;"."&amp;AQ101,Tab.Measure.f.Default!$A:$A,0)</f>
        <v>20</v>
      </c>
      <c r="AS101" s="21">
        <f ca="1">OFFSET(Tab.Measure.f.Default!$A$1,AR101-1,MATCH(AS$87&amp;"_"&amp;$J101,Tab.Measure.f.Default!$1:$1,0)-1)</f>
        <v>0.75</v>
      </c>
      <c r="AT101" s="29" t="str">
        <f t="shared" ref="AT101:AT132" si="5">I101&amp;".NA."&amp;TEXT(AA101,"00")</f>
        <v>MUH.NA.05</v>
      </c>
      <c r="AU101" s="17">
        <f>MATCH(AU$88&amp;"."&amp;AT101,Tab.Measure.f.Default!$A:$A,0)</f>
        <v>40</v>
      </c>
      <c r="AV101" s="21">
        <f ca="1">OFFSET(Tab.Measure.f.Default!$A$1,AU101-1,MATCH(AV$87&amp;"_"&amp;$J101,Tab.Measure.f.Default!$1:$1,0)-1)</f>
        <v>0.37</v>
      </c>
      <c r="AW101" s="30">
        <f ca="1">IFERROR(IF(T101="",#N/A,T101),IF(R101="None",0,IF(R101="Refurbish",AS101,IF(R101="_NA_",IF(IFERROR(IF(S101="",#N/A,S101),0)&gt;=1,AS101,AV101),IF(IFERROR(IF(S101="",#N/A,S101),0)&gt;=1,1,0)))))</f>
        <v>0.37</v>
      </c>
      <c r="AX101" s="9">
        <f t="shared" ref="AX101:AX132" ca="1" si="6">1/AG101</f>
        <v>0.83333333333333337</v>
      </c>
      <c r="AY101" s="9">
        <f t="shared" ref="AY101:AY132" ca="1" si="7">IF(AW101&gt;0,AN101/100/AP101,0)</f>
        <v>2</v>
      </c>
      <c r="AZ101" s="9">
        <f ca="1">AX101+AY101</f>
        <v>2.8333333333333335</v>
      </c>
      <c r="BA101" s="9">
        <f ca="1">1/AZ101</f>
        <v>0.3529411764705882</v>
      </c>
      <c r="BB101" s="9">
        <f t="shared" ref="BB101:BB132" ca="1" si="8">(1-AW101)*AG101+AW101*BA101</f>
        <v>0.88658823529411768</v>
      </c>
      <c r="BC101" s="32" t="str">
        <f t="shared" ref="BC101:BC132" si="9">IF(IFERROR(IF(N101="",#N/A,N101),0)=0,"E",IF(N101&gt;=1995,"B",IF(N101&gt;=1983,"C","D")))</f>
        <v>E</v>
      </c>
      <c r="BD101" s="20" t="str">
        <f ca="1">OFFSET(Tab.Uncertainty.Levels!$A$1,MATCH(BD$88,Tab.Uncertainty.Levels!$A:$A,0)-1,MATCH(BD$87&amp;"_"&amp;BC101,Tab.Uncertainty.Levels!$1:$1,0)-1)</f>
        <v>Construction year of the building unknown</v>
      </c>
      <c r="BE101" s="24">
        <f ca="1">OFFSET(Tab.Uncertainty.Levels!$A$1,MATCH(BE$88,Tab.Uncertainty.Levels!$A:$A,0)-1,MATCH(BE$87&amp;"_"&amp;BC101,Tab.Uncertainty.Levels!$1:$1,0)-1)</f>
        <v>0.5</v>
      </c>
      <c r="BF101" s="32" t="str">
        <f t="shared" ref="BF101:BF132" si="10">IF(AND(NOT(M101="Manual"),ISNA(IF($X101="",#N/A,$X101))),"-",IF($L101="DesignDataPlusQA","A",IF($L101="DesignData","B",IF($L101="InspectionOnSite","C",IF($L101="NoDataSource","E","D")))))</f>
        <v>-</v>
      </c>
      <c r="BG101" s="20" t="e">
        <f ca="1">OFFSET(Tab.Uncertainty.Levels!$A$1,MATCH(BG$88,Tab.Uncertainty.Levels!$A:$A,0)-1,MATCH(BG$87&amp;"_"&amp;BF101,Tab.Uncertainty.Levels!$1:$1,0)-1)</f>
        <v>#N/A</v>
      </c>
      <c r="BH101" s="24" t="e">
        <f ca="1">OFFSET(Tab.Uncertainty.Levels!$A$1,MATCH(BH$88,Tab.Uncertainty.Levels!$A:$A,0)-1,MATCH(BH$87&amp;"_"&amp;BF101,Tab.Uncertainty.Levels!$1:$1,0)-1)</f>
        <v>#N/A</v>
      </c>
      <c r="BI101" s="32" t="str">
        <f>IF(BF101="-",BC101,BF101)</f>
        <v>E</v>
      </c>
      <c r="BJ101" s="13">
        <f ca="1">IF(BF101="-",BE101,BH101)</f>
        <v>0.5</v>
      </c>
      <c r="BK101" s="32" t="str">
        <f>IF(OR($L101="NoDataSource",IFERROR(IF($S101="",#N/A,$S101),0)=0),IF(IFERROR(IF(U101="",#N/A,U101),0)=0,"E","D"),IF($L101="DesignDataPlusQA","A",IF($L101="DesignData","B","C")))</f>
        <v>E</v>
      </c>
      <c r="BL101" s="20" t="str">
        <f ca="1">OFFSET(Tab.Uncertainty.Levels!$A$1,MATCH(BL$88,Tab.Uncertainty.Levels!$A:$A,0)-1,MATCH(BL$87&amp;"_"&amp;BK101,Tab.Uncertainty.Levels!$1:$1,0)-1)</f>
        <v>Insulation available; insulation thickness and year of implementation unknown</v>
      </c>
      <c r="BM101" s="24">
        <f ca="1">OFFSET(Tab.Uncertainty.Levels!$A$1,MATCH(BM$88,Tab.Uncertainty.Levels!$A:$A,0)-1,MATCH(BM$87&amp;"_"&amp;BK101,Tab.Uncertainty.Levels!$1:$1,0)-1)</f>
        <v>0.5</v>
      </c>
      <c r="BN101" s="34">
        <f ca="1">OFFSET(Tab.Uncertainty.Levels!$A$1,MATCH(BN$88,Tab.Uncertainty.Levels!$A:$A,0)-1,MATCH(BN$87&amp;"_"&amp;BK101,Tab.Uncertainty.Levels!$1:$1,0)-1)</f>
        <v>8</v>
      </c>
      <c r="BO101" s="13">
        <f ca="1">IFERROR(MIN(BM101,BN101/AN101),0)</f>
        <v>0.5</v>
      </c>
      <c r="BP101" s="32" t="str">
        <f>IF(OR($L101="NoDataSource",IFERROR(IF($V101="",#N/A,$V101),0)=0),IF(IFERROR(IF(U101="",#N/A,U101),0)=0,"E","D"),IF($L101="DesignDataPlusQA","A",IF($L101="DesignData","B","C")))</f>
        <v>E</v>
      </c>
      <c r="BQ101" s="20" t="str">
        <f ca="1">OFFSET(Tab.Uncertainty.Levels!$A$1,MATCH(BQ$88,Tab.Uncertainty.Levels!$A:$A,0)-1,MATCH(BQ$87&amp;"_"&amp;BP101,Tab.Uncertainty.Levels!$1:$1,0)-1)</f>
        <v>Insulation available; no information about material and year of implementation</v>
      </c>
      <c r="BR101" s="97">
        <f ca="1">OFFSET(Tab.Uncertainty.Levels!$A$1,MATCH(BR$88,Tab.Uncertainty.Levels!$A:$A,0)-1,MATCH(BR$87&amp;"_"&amp;BP101,Tab.Uncertainty.Levels!$1:$1,0)-1)</f>
        <v>0.3</v>
      </c>
      <c r="BS101" s="32" t="str">
        <f>IF(L101="NoDataSource","D",IF(IFERROR(IF($T101="",#N/A,$T101),0)=0,IF(OR(IFERROR(IF($S101="",#N/A,$S101),0)&gt;0,$R101="Refurbish"),"D","E"),IF($L101="DesignDataPlusQA","A",IF($L101="DesignData","B","C"))))</f>
        <v>E</v>
      </c>
      <c r="BT101" s="20" t="str">
        <f ca="1">OFFSET(Tab.Uncertainty.Levels!$A$1,MATCH(BT$88,Tab.Uncertainty.Levels!$A:$A,0)-1,MATCH(BT$87&amp;"_"&amp;BS101,Tab.Uncertainty.Levels!$1:$1,0)-1)</f>
        <v>Unknown if insulation has been applied (default fraction value is the average insulation fraction for all buildings)</v>
      </c>
      <c r="BU101" s="33">
        <f ca="1">OFFSET(Tab.Uncertainty.Levels!$A$1,MATCH(BU$88,Tab.Uncertainty.Levels!$A:$A,0)-1,MATCH(BU$87&amp;"_"&amp;BS101,Tab.Uncertainty.Levels!$1:$1,0)-1)</f>
        <v>0.5</v>
      </c>
      <c r="BV101" s="13">
        <f ca="1">IFERROR(MIN(BU101/AW101,1,(1-AW101)/AW101),0)</f>
        <v>1</v>
      </c>
      <c r="BW101" s="96">
        <f ca="1">ABS(1+(AW101*(1/(1+AN101/100/AP101*AG101)^2-1)))*BJ101*$AG101</f>
        <v>0.39720415224913491</v>
      </c>
      <c r="BX101" s="96">
        <f ca="1">ABS(-AG101+1/(1/AG101+AN101/100/AP101))*BV101*AW101</f>
        <v>0.31341176470588233</v>
      </c>
      <c r="BY101" s="96">
        <f ca="1">ABS(-AW101*AP101/((AP101/AG101+AN101/100)^2))*(BO101*AN101/100)</f>
        <v>4.6089965397923871E-2</v>
      </c>
      <c r="BZ101" s="202">
        <f ca="1">ABS(AW101*AN101/100/(1/AG101*AP101+AN101/100)^2)*(BR101*AP101)</f>
        <v>2.7653979238754324E-2</v>
      </c>
      <c r="CA101" s="103">
        <f ca="1">SQRT(BW101^2+BX101^2+BY101^2+BZ101^2)</f>
        <v>0.50880949312893975</v>
      </c>
      <c r="CB101" s="37">
        <f t="shared" ref="CB101:CB132" ca="1" si="11">BW101/$BB101</f>
        <v>0.44801423754215058</v>
      </c>
      <c r="CC101" s="37">
        <f t="shared" ref="CC101:CC132" ca="1" si="12">BX101/$BB101</f>
        <v>0.35350318471337577</v>
      </c>
      <c r="CD101" s="37">
        <f t="shared" ref="CD101:CD132" ca="1" si="13">BY101/$BB101</f>
        <v>5.1985762457849374E-2</v>
      </c>
      <c r="CE101" s="37">
        <f t="shared" ref="CE101:CE132" ca="1" si="14">BZ101/$BB101</f>
        <v>3.1191457474709628E-2</v>
      </c>
      <c r="CF101" s="13">
        <f t="shared" ref="CF101:CF132" ca="1" si="15">SQRT(SUMPRODUCT(CB101:CE101,CB101:CE101))</f>
        <v>0.57389605780201536</v>
      </c>
      <c r="CG101" s="101">
        <f ca="1">AG101</f>
        <v>1.2</v>
      </c>
      <c r="CH101" s="101">
        <f ca="1">AW101</f>
        <v>0.37</v>
      </c>
      <c r="CI101" s="203">
        <f ca="1">IF(CH101&gt;0,AN101,0)</f>
        <v>8</v>
      </c>
      <c r="CJ101" s="102">
        <f ca="1">IF(AND(CH101&gt;0,CI101&gt;0),AP101,0)</f>
        <v>0.04</v>
      </c>
      <c r="CK101" s="102">
        <f ca="1">BB101</f>
        <v>0.88658823529411768</v>
      </c>
      <c r="CL101" s="37">
        <f t="shared" ref="CL101:CL130" ca="1" si="16">BJ101</f>
        <v>0.5</v>
      </c>
      <c r="CM101" s="37">
        <f t="shared" ref="CM101:CM130" ca="1" si="17">BV101</f>
        <v>1</v>
      </c>
      <c r="CN101" s="37">
        <f t="shared" ref="CN101:CN130" ca="1" si="18">BO101</f>
        <v>0.5</v>
      </c>
      <c r="CO101" s="37">
        <f t="shared" ref="CO101:CO130" ca="1" si="19">BR101</f>
        <v>0.3</v>
      </c>
      <c r="CP101" s="37">
        <f t="shared" ref="CP101:CP130" ca="1" si="20">CF101</f>
        <v>0.57389605780201536</v>
      </c>
      <c r="CQ101" s="95">
        <f t="shared" ref="CQ101:CQ130" ca="1" si="21">CG101*CL101</f>
        <v>0.6</v>
      </c>
      <c r="CR101" s="95">
        <f t="shared" ref="CR101:CR130" ca="1" si="22">CH101*CM101</f>
        <v>0.37</v>
      </c>
      <c r="CS101" s="95">
        <f t="shared" ref="CS101:CS130" ca="1" si="23">CI101*CN101</f>
        <v>4</v>
      </c>
      <c r="CT101" s="103">
        <f t="shared" ref="CT101:CT130" ca="1" si="24">CJ101*CO101</f>
        <v>1.2E-2</v>
      </c>
      <c r="CU101" s="95">
        <f t="shared" ref="CU101:CU130" ca="1" si="25">CK101*CP101</f>
        <v>0.50880949312893975</v>
      </c>
      <c r="CV101" s="37">
        <f ca="1">$CB101^2/$CF101^2</f>
        <v>0.60942062537016428</v>
      </c>
      <c r="CW101" s="37">
        <f ca="1">$CD101^2/$CF101^2</f>
        <v>8.2054490468452881E-3</v>
      </c>
      <c r="CX101" s="37">
        <f ca="1">$CE101^2/$CF101^2</f>
        <v>2.9539616568643044E-3</v>
      </c>
      <c r="CY101" s="37">
        <f ca="1">$CC101^2/$CF101^2</f>
        <v>0.37941996392612615</v>
      </c>
      <c r="DA101" s="98" t="s">
        <v>456</v>
      </c>
      <c r="DB101" s="35">
        <f ca="1">OFFSET($A$1,ROW(DB101)-1,MATCH(DA101,$1:$1,0)-1)</f>
        <v>0.37</v>
      </c>
      <c r="DC101" s="9">
        <f ca="1">BB101</f>
        <v>0.88658823529411768</v>
      </c>
      <c r="DD101" s="9">
        <f ca="1">$DC101+$CA101</f>
        <v>1.3953977284230574</v>
      </c>
      <c r="DE101" s="9">
        <f ca="1">$DC101-$CA101</f>
        <v>0.37777874216517793</v>
      </c>
      <c r="DF101" s="10">
        <f t="shared" ref="DF101:DF113" ca="1" si="26">0.5*(DD101-DE101)/DC101</f>
        <v>0.57389605780201536</v>
      </c>
    </row>
    <row r="102" spans="1:110" s="8" customFormat="1" ht="32.4" customHeight="1">
      <c r="A102" s="206" t="s">
        <v>548</v>
      </c>
      <c r="B102" s="208" t="s">
        <v>2340</v>
      </c>
      <c r="C102" s="206" t="s">
        <v>172</v>
      </c>
      <c r="D102" s="206"/>
      <c r="E102" s="206"/>
      <c r="F102" s="206"/>
      <c r="G102" s="206" t="s">
        <v>2170</v>
      </c>
      <c r="H102" s="206" t="s">
        <v>2171</v>
      </c>
      <c r="I102" s="156" t="s">
        <v>80</v>
      </c>
      <c r="J102" s="156" t="s">
        <v>134</v>
      </c>
      <c r="K102" s="156" t="s">
        <v>155</v>
      </c>
      <c r="L102" s="156" t="s">
        <v>190</v>
      </c>
      <c r="M102" s="156" t="s">
        <v>188</v>
      </c>
      <c r="N102" s="7">
        <v>1925</v>
      </c>
      <c r="O102" s="156" t="e">
        <v>#N/A</v>
      </c>
      <c r="P102" s="156" t="e">
        <v>#N/A</v>
      </c>
      <c r="Q102" s="156" t="s">
        <v>435</v>
      </c>
      <c r="R102" s="156" t="s">
        <v>41</v>
      </c>
      <c r="S102" s="19" t="e">
        <v>#N/A</v>
      </c>
      <c r="T102" s="19" t="e">
        <v>#N/A</v>
      </c>
      <c r="U102" s="19" t="e">
        <v>#N/A</v>
      </c>
      <c r="V102" s="19" t="e">
        <v>#N/A</v>
      </c>
      <c r="W102" s="28" t="s">
        <v>41</v>
      </c>
      <c r="X102" s="19" t="e">
        <v>#N/A</v>
      </c>
      <c r="Y102" s="105">
        <f ca="1">IFERROR(OFFSET(Tab.Const.ConstrBorder!$A$1,MATCH(Q102,Tab.Const.ConstrBorder!$A:$A,0)-1,MATCH(Y$87,Tab.Const.ConstrBorder!$1:$1,0)-1),0)</f>
        <v>0</v>
      </c>
      <c r="Z102" s="18">
        <f t="shared" ref="Z102:Z156" si="27">IFERROR(IF(OR(N102="",N102=0),#N/A,N102),Z$88)</f>
        <v>1925</v>
      </c>
      <c r="AA102" s="17">
        <f>MATCH(Z102,Tab.Year.Period!$11:$11,1)-3</f>
        <v>3</v>
      </c>
      <c r="AB102" s="17">
        <f>MATCH(AB$88&amp;"."&amp;TEXT(AA102,"00"),Tab.U.Default!$A:$A,0)</f>
        <v>26</v>
      </c>
      <c r="AC102" s="105">
        <f ca="1">OFFSET(Tab.U.Default!$A$1,$AB102-1,MATCH("U_Class_"&amp;IF($J102="TopCeiling","UpperCeiling",$J102)&amp;"_"&amp;AC$87,Tab.U.Default!$1:$1,0)-1)</f>
        <v>1.5</v>
      </c>
      <c r="AD102" s="105">
        <f ca="1">OFFSET(Tab.U.Default!$A$1,$AB102-1,MATCH("U_Class_"&amp;IF($J102="TopCeiling","UpperCeiling",$J102)&amp;"_"&amp;AD$87,Tab.U.Default!$1:$1,0)-1)</f>
        <v>1.5</v>
      </c>
      <c r="AE102" s="105">
        <f ca="1">OFFSET(Tab.U.Default!$A$1,$AB102-1,MATCH("U_Class_"&amp;IF($J102="TopCeiling","UpperCeiling",$J102)&amp;"_"&amp;AE$87,Tab.U.Default!$1:$1,0)-1)</f>
        <v>1.5</v>
      </c>
      <c r="AF102" s="26">
        <f t="shared" ca="1" si="0"/>
        <v>1.5</v>
      </c>
      <c r="AG102" s="26">
        <f t="shared" ca="1" si="1"/>
        <v>1.5</v>
      </c>
      <c r="AH102" s="18" t="str">
        <f t="shared" si="2"/>
        <v>Refurbish</v>
      </c>
      <c r="AI102" s="18" t="str">
        <f t="shared" ref="AI102:AI156" si="28">IF(W102&lt;&gt;"_NA_",W102,IF(R102="Original","ReplaceInsulation","Add"))</f>
        <v>Add</v>
      </c>
      <c r="AJ102" s="18">
        <f t="shared" si="3"/>
        <v>1995</v>
      </c>
      <c r="AK102" s="17">
        <f>MATCH(AJ102,Tab.Year.Period!$11:$11,1)-3</f>
        <v>9</v>
      </c>
      <c r="AL102" s="17">
        <f>MATCH(AL$88&amp;"."&amp;TEXT(AK102,"00"),Tab.Insulation.Default!$A:$A,0)</f>
        <v>20</v>
      </c>
      <c r="AM102" s="20">
        <f ca="1">IF(ISNA(IF(S102="",#N/A,S102)),OFFSET(Tab.Insulation.Default!$A$1,$AL102-1,MATCH(AM$87&amp;"_"&amp;$K102,Tab.Insulation.Default!$1:$1,0)-1),#N/A)</f>
        <v>8</v>
      </c>
      <c r="AN102" s="27">
        <f t="shared" ref="AN102:AN156" ca="1" si="29">IFERROR(IF(S102="",#N/A,S102),IF(OR(R102="Refurbish",R102="_NA_"),AM102,0))</f>
        <v>8</v>
      </c>
      <c r="AO102" s="22">
        <f ca="1">IF(ISNA(IF(V102="",#N/A,V102)),OFFSET(Tab.Insulation.Default!$A$1,$AL102-1,MATCH(AO$87&amp;"_"&amp;$K102,Tab.Insulation.Default!$1:$1,0)-1),#N/A)</f>
        <v>0.04</v>
      </c>
      <c r="AP102" s="23">
        <f t="shared" ref="AP102:AP156" ca="1" si="30">IFERROR(IF(V102="",#N/A,V102),AO102)</f>
        <v>0.04</v>
      </c>
      <c r="AQ102" s="29" t="str">
        <f t="shared" si="4"/>
        <v>Gen.Refurbished.09</v>
      </c>
      <c r="AR102" s="17">
        <f>MATCH(AR$88&amp;"."&amp;AQ102,Tab.Measure.f.Default!$A:$A,0)</f>
        <v>20</v>
      </c>
      <c r="AS102" s="21">
        <f ca="1">OFFSET(Tab.Measure.f.Default!$A$1,AR102-1,MATCH(AS$87&amp;"_"&amp;$J102,Tab.Measure.f.Default!$1:$1,0)-1)</f>
        <v>0.75</v>
      </c>
      <c r="AT102" s="29" t="str">
        <f t="shared" si="5"/>
        <v>MUH.NA.03</v>
      </c>
      <c r="AU102" s="17">
        <f>MATCH(AU$88&amp;"."&amp;AT102,Tab.Measure.f.Default!$A:$A,0)</f>
        <v>38</v>
      </c>
      <c r="AV102" s="21">
        <f ca="1">OFFSET(Tab.Measure.f.Default!$A$1,AU102-1,MATCH(AV$87&amp;"_"&amp;$J102,Tab.Measure.f.Default!$1:$1,0)-1)</f>
        <v>0.37</v>
      </c>
      <c r="AW102" s="30">
        <f ca="1">IFERROR(IF(T102="",#N/A,T102),IF(R102="None",0,IF(R102="Refurbish",AS102,IF(R102="_NA_",IF(IFERROR(IF(S102="",#N/A,S102),0)&gt;=1,AS102,AV102),IF(IFERROR(IF(S102="",#N/A,S102),0)&gt;=1,1,0)))))</f>
        <v>0.37</v>
      </c>
      <c r="AX102" s="9">
        <f t="shared" ca="1" si="6"/>
        <v>0.66666666666666663</v>
      </c>
      <c r="AY102" s="9">
        <f t="shared" ca="1" si="7"/>
        <v>2</v>
      </c>
      <c r="AZ102" s="9">
        <f ca="1">AX102+AY102</f>
        <v>2.6666666666666665</v>
      </c>
      <c r="BA102" s="9">
        <f ca="1">1/AZ102</f>
        <v>0.375</v>
      </c>
      <c r="BB102" s="9">
        <f t="shared" ca="1" si="8"/>
        <v>1.08375</v>
      </c>
      <c r="BC102" s="32" t="str">
        <f t="shared" si="9"/>
        <v>D</v>
      </c>
      <c r="BD102" s="20" t="str">
        <f ca="1">OFFSET(Tab.Uncertainty.Levels!$A$1,MATCH(BD$88,Tab.Uncertainty.Levels!$A:$A,0)-1,MATCH(BD$87&amp;"_"&amp;BC102,Tab.Uncertainty.Levels!$1:$1,0)-1)</f>
        <v>Use of default values; building constructed until 1983</v>
      </c>
      <c r="BE102" s="24">
        <f ca="1">OFFSET(Tab.Uncertainty.Levels!$A$1,MATCH(BE$88,Tab.Uncertainty.Levels!$A:$A,0)-1,MATCH(BE$87&amp;"_"&amp;BC102,Tab.Uncertainty.Levels!$1:$1,0)-1)</f>
        <v>0.3</v>
      </c>
      <c r="BF102" s="32" t="str">
        <f t="shared" si="10"/>
        <v>-</v>
      </c>
      <c r="BG102" s="20" t="e">
        <f ca="1">OFFSET(Tab.Uncertainty.Levels!$A$1,MATCH(BG$88,Tab.Uncertainty.Levels!$A:$A,0)-1,MATCH(BG$87&amp;"_"&amp;BF102,Tab.Uncertainty.Levels!$1:$1,0)-1)</f>
        <v>#N/A</v>
      </c>
      <c r="BH102" s="24" t="e">
        <f ca="1">OFFSET(Tab.Uncertainty.Levels!$A$1,MATCH(BH$88,Tab.Uncertainty.Levels!$A:$A,0)-1,MATCH(BH$87&amp;"_"&amp;BF102,Tab.Uncertainty.Levels!$1:$1,0)-1)</f>
        <v>#N/A</v>
      </c>
      <c r="BI102" s="32" t="str">
        <f t="shared" ref="BI102:BI165" si="31">IF(BF102="-",BC102,BF102)</f>
        <v>D</v>
      </c>
      <c r="BJ102" s="13">
        <f ca="1">IF(BF102="-",BE102,BH102)</f>
        <v>0.3</v>
      </c>
      <c r="BK102" s="32" t="str">
        <f>IF(OR($L102="NoDataSource",IFERROR(IF($S102="",#N/A,$S102),0)=0),IF(IFERROR(IF(U102="",#N/A,U102),0)=0,"E","D"),IF($L102="DesignDataPlusQA","A",IF($L102="DesignData","B","C")))</f>
        <v>E</v>
      </c>
      <c r="BL102" s="20" t="str">
        <f ca="1">OFFSET(Tab.Uncertainty.Levels!$A$1,MATCH(BL$88,Tab.Uncertainty.Levels!$A:$A,0)-1,MATCH(BL$87&amp;"_"&amp;BK102,Tab.Uncertainty.Levels!$1:$1,0)-1)</f>
        <v>Insulation available; insulation thickness and year of implementation unknown</v>
      </c>
      <c r="BM102" s="24">
        <f ca="1">OFFSET(Tab.Uncertainty.Levels!$A$1,MATCH(BM$88,Tab.Uncertainty.Levels!$A:$A,0)-1,MATCH(BM$87&amp;"_"&amp;BK102,Tab.Uncertainty.Levels!$1:$1,0)-1)</f>
        <v>0.5</v>
      </c>
      <c r="BN102" s="34">
        <f ca="1">OFFSET(Tab.Uncertainty.Levels!$A$1,MATCH(BN$88,Tab.Uncertainty.Levels!$A:$A,0)-1,MATCH(BN$87&amp;"_"&amp;BK102,Tab.Uncertainty.Levels!$1:$1,0)-1)</f>
        <v>8</v>
      </c>
      <c r="BO102" s="13">
        <f ca="1">IFERROR(MIN(BM102,BN102/AN102),0)</f>
        <v>0.5</v>
      </c>
      <c r="BP102" s="32" t="str">
        <f>IF(OR($L102="NoDataSource",IFERROR(IF($V102="",#N/A,$V102),0)=0),IF(IFERROR(IF(U102="",#N/A,U102),0)=0,"E","D"),IF($L102="DesignDataPlusQA","A",IF($L102="DesignData","B","C")))</f>
        <v>E</v>
      </c>
      <c r="BQ102" s="20" t="str">
        <f ca="1">OFFSET(Tab.Uncertainty.Levels!$A$1,MATCH(BQ$88,Tab.Uncertainty.Levels!$A:$A,0)-1,MATCH(BQ$87&amp;"_"&amp;BP102,Tab.Uncertainty.Levels!$1:$1,0)-1)</f>
        <v>Insulation available; no information about material and year of implementation</v>
      </c>
      <c r="BR102" s="97">
        <f ca="1">OFFSET(Tab.Uncertainty.Levels!$A$1,MATCH(BR$88,Tab.Uncertainty.Levels!$A:$A,0)-1,MATCH(BR$87&amp;"_"&amp;BP102,Tab.Uncertainty.Levels!$1:$1,0)-1)</f>
        <v>0.3</v>
      </c>
      <c r="BS102" s="32" t="str">
        <f>IF(L102="NoDataSource","D",IF(IFERROR(IF($T102="",#N/A,$T102),0)=0,IF(OR(IFERROR(IF($S102="",#N/A,$S102),0)&gt;0,$R102="Refurbish"),"D","E"),IF($L102="DesignDataPlusQA","A",IF($L102="DesignData","B","C"))))</f>
        <v>E</v>
      </c>
      <c r="BT102" s="20" t="str">
        <f ca="1">OFFSET(Tab.Uncertainty.Levels!$A$1,MATCH(BT$88,Tab.Uncertainty.Levels!$A:$A,0)-1,MATCH(BT$87&amp;"_"&amp;BS102,Tab.Uncertainty.Levels!$1:$1,0)-1)</f>
        <v>Unknown if insulation has been applied (default fraction value is the average insulation fraction for all buildings)</v>
      </c>
      <c r="BU102" s="33">
        <f ca="1">OFFSET(Tab.Uncertainty.Levels!$A$1,MATCH(BU$88,Tab.Uncertainty.Levels!$A:$A,0)-1,MATCH(BU$87&amp;"_"&amp;BS102,Tab.Uncertainty.Levels!$1:$1,0)-1)</f>
        <v>0.5</v>
      </c>
      <c r="BV102" s="13">
        <f ca="1">IFERROR(MIN(BU102/AW102,1,(1-AW102)/AW102),0)</f>
        <v>1</v>
      </c>
      <c r="BW102" s="96">
        <f ca="1">ABS(1+(AW102*(1/(1+AN102/100/AP102*AG102)^2-1)))*BJ102*$AG102</f>
        <v>0.29390624999999998</v>
      </c>
      <c r="BX102" s="96">
        <f ca="1">ABS(-AG102+1/(1/AG102+AN102/100/AP102))*BV102*AW102</f>
        <v>0.41625000000000001</v>
      </c>
      <c r="BY102" s="96">
        <f ca="1">ABS(-AW102*AP102/((AP102/AG102+AN102/100)^2))*(BO102*AN102/100)</f>
        <v>5.2031249999999994E-2</v>
      </c>
      <c r="BZ102" s="202">
        <f ca="1">ABS(AW102*AN102/100/(1/AG102*AP102+AN102/100)^2)*(BR102*AP102)</f>
        <v>3.1218750000000007E-2</v>
      </c>
      <c r="CA102" s="103">
        <f t="shared" ref="CA102:CA156" ca="1" si="32">SQRT(BW102^2+BX102^2+BY102^2+BZ102^2)</f>
        <v>0.51315378554307423</v>
      </c>
      <c r="CB102" s="37">
        <f t="shared" ca="1" si="11"/>
        <v>0.27119377162629754</v>
      </c>
      <c r="CC102" s="37">
        <f t="shared" ca="1" si="12"/>
        <v>0.38408304498269896</v>
      </c>
      <c r="CD102" s="37">
        <f t="shared" ca="1" si="13"/>
        <v>4.8010380622837363E-2</v>
      </c>
      <c r="CE102" s="37">
        <f t="shared" ca="1" si="14"/>
        <v>2.880622837370243E-2</v>
      </c>
      <c r="CF102" s="13">
        <f t="shared" ca="1" si="15"/>
        <v>0.47349830269257143</v>
      </c>
      <c r="CG102" s="101">
        <f ca="1">AG102</f>
        <v>1.5</v>
      </c>
      <c r="CH102" s="101">
        <f ca="1">AW102</f>
        <v>0.37</v>
      </c>
      <c r="CI102" s="203">
        <f ca="1">IF(CH102&gt;0,AN102,0)</f>
        <v>8</v>
      </c>
      <c r="CJ102" s="102">
        <f ca="1">IF(AND(CH102&gt;0,CI102&gt;0),AP102,0)</f>
        <v>0.04</v>
      </c>
      <c r="CK102" s="102">
        <f ca="1">BB102</f>
        <v>1.08375</v>
      </c>
      <c r="CL102" s="37">
        <f t="shared" ca="1" si="16"/>
        <v>0.3</v>
      </c>
      <c r="CM102" s="37">
        <f t="shared" ca="1" si="17"/>
        <v>1</v>
      </c>
      <c r="CN102" s="37">
        <f t="shared" ca="1" si="18"/>
        <v>0.5</v>
      </c>
      <c r="CO102" s="37">
        <f t="shared" ca="1" si="19"/>
        <v>0.3</v>
      </c>
      <c r="CP102" s="37">
        <f t="shared" ca="1" si="20"/>
        <v>0.47349830269257143</v>
      </c>
      <c r="CQ102" s="95">
        <f t="shared" ca="1" si="21"/>
        <v>0.44999999999999996</v>
      </c>
      <c r="CR102" s="95">
        <f t="shared" ca="1" si="22"/>
        <v>0.37</v>
      </c>
      <c r="CS102" s="95">
        <f t="shared" ca="1" si="23"/>
        <v>4</v>
      </c>
      <c r="CT102" s="103">
        <f t="shared" ca="1" si="24"/>
        <v>1.2E-2</v>
      </c>
      <c r="CU102" s="95">
        <f t="shared" ca="1" si="25"/>
        <v>0.51315378554307423</v>
      </c>
      <c r="CV102" s="37">
        <f ca="1">$CB102^2/$CF102^2</f>
        <v>0.32803680176246647</v>
      </c>
      <c r="CW102" s="37">
        <f ca="1">$CD102^2/$CF102^2</f>
        <v>1.0280954685396778E-2</v>
      </c>
      <c r="CX102" s="37">
        <f ca="1">$CE102^2/$CF102^2</f>
        <v>3.7011436867428423E-3</v>
      </c>
      <c r="CY102" s="37">
        <f ca="1">$CC102^2/$CF102^2</f>
        <v>0.65798109986539388</v>
      </c>
      <c r="DA102" s="98" t="s">
        <v>456</v>
      </c>
      <c r="DB102" s="35">
        <f ca="1">OFFSET($A$1,ROW(DB102)-1,MATCH(DA102,$1:$1,0)-1)</f>
        <v>0.37</v>
      </c>
      <c r="DC102" s="9">
        <f ca="1">BB102</f>
        <v>1.08375</v>
      </c>
      <c r="DD102" s="9">
        <f ca="1">$DC102+$CA102</f>
        <v>1.5969037855430743</v>
      </c>
      <c r="DE102" s="9">
        <f ca="1">$DC102-$CA102</f>
        <v>0.57059621445692577</v>
      </c>
      <c r="DF102" s="10">
        <f t="shared" ca="1" si="26"/>
        <v>0.47349830269257148</v>
      </c>
    </row>
    <row r="103" spans="1:110" s="8" customFormat="1" ht="32.4" customHeight="1">
      <c r="A103" s="206" t="s">
        <v>549</v>
      </c>
      <c r="B103" s="208" t="s">
        <v>2340</v>
      </c>
      <c r="C103" s="206" t="s">
        <v>43</v>
      </c>
      <c r="D103" s="206"/>
      <c r="E103" s="206"/>
      <c r="F103" s="206"/>
      <c r="G103" s="206" t="s">
        <v>2170</v>
      </c>
      <c r="H103" s="206" t="s">
        <v>2171</v>
      </c>
      <c r="I103" s="156" t="s">
        <v>80</v>
      </c>
      <c r="J103" s="156" t="s">
        <v>134</v>
      </c>
      <c r="K103" s="156" t="s">
        <v>155</v>
      </c>
      <c r="L103" s="156" t="s">
        <v>66</v>
      </c>
      <c r="M103" s="156" t="s">
        <v>188</v>
      </c>
      <c r="N103" s="7">
        <v>1925</v>
      </c>
      <c r="O103" s="156">
        <v>1</v>
      </c>
      <c r="P103" s="156">
        <v>0</v>
      </c>
      <c r="Q103" s="156" t="s">
        <v>435</v>
      </c>
      <c r="R103" s="156" t="s">
        <v>167</v>
      </c>
      <c r="S103" s="19">
        <v>0</v>
      </c>
      <c r="T103" s="19">
        <v>0</v>
      </c>
      <c r="U103" s="19">
        <v>2016</v>
      </c>
      <c r="V103" s="19" t="e">
        <v>#N/A</v>
      </c>
      <c r="W103" s="28" t="s">
        <v>41</v>
      </c>
      <c r="X103" s="19" t="e">
        <v>#N/A</v>
      </c>
      <c r="Y103" s="105">
        <f ca="1">IFERROR(OFFSET(Tab.Const.ConstrBorder!$A$1,MATCH(Q103,Tab.Const.ConstrBorder!$A:$A,0)-1,MATCH(Y$87,Tab.Const.ConstrBorder!$1:$1,0)-1),0)</f>
        <v>0</v>
      </c>
      <c r="Z103" s="18">
        <f t="shared" si="27"/>
        <v>1925</v>
      </c>
      <c r="AA103" s="17">
        <f>MATCH(Z103,Tab.Year.Period!$11:$11,1)-3</f>
        <v>3</v>
      </c>
      <c r="AB103" s="17">
        <f>MATCH(AB$88&amp;"."&amp;TEXT(AA103,"00"),Tab.U.Default!$A:$A,0)</f>
        <v>26</v>
      </c>
      <c r="AC103" s="105">
        <f ca="1">OFFSET(Tab.U.Default!$A$1,$AB103-1,MATCH("U_Class_"&amp;IF($J103="TopCeiling","UpperCeiling",$J103)&amp;"_"&amp;AC$87,Tab.U.Default!$1:$1,0)-1)</f>
        <v>1.5</v>
      </c>
      <c r="AD103" s="105">
        <f ca="1">OFFSET(Tab.U.Default!$A$1,$AB103-1,MATCH("U_Class_"&amp;IF($J103="TopCeiling","UpperCeiling",$J103)&amp;"_"&amp;AD$87,Tab.U.Default!$1:$1,0)-1)</f>
        <v>1.5</v>
      </c>
      <c r="AE103" s="105">
        <f ca="1">OFFSET(Tab.U.Default!$A$1,$AB103-1,MATCH("U_Class_"&amp;IF($J103="TopCeiling","UpperCeiling",$J103)&amp;"_"&amp;AE$87,Tab.U.Default!$1:$1,0)-1)</f>
        <v>1.5</v>
      </c>
      <c r="AF103" s="26">
        <f t="shared" ca="1" si="0"/>
        <v>1.5</v>
      </c>
      <c r="AG103" s="26">
        <f t="shared" ca="1" si="1"/>
        <v>1.5</v>
      </c>
      <c r="AH103" s="18" t="str">
        <f t="shared" si="2"/>
        <v>None</v>
      </c>
      <c r="AI103" s="18" t="str">
        <f t="shared" si="28"/>
        <v>Add</v>
      </c>
      <c r="AJ103" s="18">
        <f t="shared" si="3"/>
        <v>2016</v>
      </c>
      <c r="AK103" s="17">
        <f>MATCH(AJ103,Tab.Year.Period!$11:$11,1)-3</f>
        <v>12</v>
      </c>
      <c r="AL103" s="17">
        <f>MATCH(AL$88&amp;"."&amp;TEXT(AK103,"00"),Tab.Insulation.Default!$A:$A,0)</f>
        <v>23</v>
      </c>
      <c r="AM103" s="20" t="e">
        <f ca="1">IF(ISNA(IF(S103="",#N/A,S103)),OFFSET(Tab.Insulation.Default!$A$1,$AL103-1,MATCH(AM$87&amp;"_"&amp;$K103,Tab.Insulation.Default!$1:$1,0)-1),#N/A)</f>
        <v>#N/A</v>
      </c>
      <c r="AN103" s="27">
        <f t="shared" si="29"/>
        <v>0</v>
      </c>
      <c r="AO103" s="22">
        <f ca="1">IF(ISNA(IF(V103="",#N/A,V103)),OFFSET(Tab.Insulation.Default!$A$1,$AL103-1,MATCH(AO$87&amp;"_"&amp;$K103,Tab.Insulation.Default!$1:$1,0)-1),#N/A)</f>
        <v>3.5000000000000003E-2</v>
      </c>
      <c r="AP103" s="23">
        <f t="shared" ca="1" si="30"/>
        <v>3.5000000000000003E-2</v>
      </c>
      <c r="AQ103" s="29" t="str">
        <f t="shared" si="4"/>
        <v>Gen.Refurbished.12</v>
      </c>
      <c r="AR103" s="17">
        <f>MATCH(AR$88&amp;"."&amp;AQ103,Tab.Measure.f.Default!$A:$A,0)</f>
        <v>23</v>
      </c>
      <c r="AS103" s="21">
        <f ca="1">OFFSET(Tab.Measure.f.Default!$A$1,AR103-1,MATCH(AS$87&amp;"_"&amp;$J103,Tab.Measure.f.Default!$1:$1,0)-1)</f>
        <v>0.75</v>
      </c>
      <c r="AT103" s="29" t="str">
        <f t="shared" si="5"/>
        <v>MUH.NA.03</v>
      </c>
      <c r="AU103" s="17">
        <f>MATCH(AU$88&amp;"."&amp;AT103,Tab.Measure.f.Default!$A:$A,0)</f>
        <v>38</v>
      </c>
      <c r="AV103" s="21">
        <f ca="1">OFFSET(Tab.Measure.f.Default!$A$1,AU103-1,MATCH(AV$87&amp;"_"&amp;$J103,Tab.Measure.f.Default!$1:$1,0)-1)</f>
        <v>0.37</v>
      </c>
      <c r="AW103" s="30">
        <f t="shared" ref="AW103:AW156" si="33">IFERROR(IF(T103="",#N/A,T103),IF(R103="None",0,IF(R103="Refurbish",AS103,IF(R103="_NA_",IF(IFERROR(IF(S103="",#N/A,S103),0)&gt;=1,AS103,AV103),IF(IFERROR(IF(S103="",#N/A,S103),0)&gt;=1,1,0)))))</f>
        <v>0</v>
      </c>
      <c r="AX103" s="9">
        <f t="shared" ca="1" si="6"/>
        <v>0.66666666666666663</v>
      </c>
      <c r="AY103" s="9">
        <f t="shared" si="7"/>
        <v>0</v>
      </c>
      <c r="AZ103" s="9">
        <f ca="1">AX103+AY103</f>
        <v>0.66666666666666663</v>
      </c>
      <c r="BA103" s="9">
        <f ca="1">1/AZ103</f>
        <v>1.5</v>
      </c>
      <c r="BB103" s="9">
        <f t="shared" ca="1" si="8"/>
        <v>1.5</v>
      </c>
      <c r="BC103" s="32" t="str">
        <f t="shared" si="9"/>
        <v>D</v>
      </c>
      <c r="BD103" s="20" t="str">
        <f ca="1">OFFSET(Tab.Uncertainty.Levels!$A$1,MATCH(BD$88,Tab.Uncertainty.Levels!$A:$A,0)-1,MATCH(BD$87&amp;"_"&amp;BC103,Tab.Uncertainty.Levels!$1:$1,0)-1)</f>
        <v>Use of default values; building constructed until 1983</v>
      </c>
      <c r="BE103" s="24">
        <f ca="1">OFFSET(Tab.Uncertainty.Levels!$A$1,MATCH(BE$88,Tab.Uncertainty.Levels!$A:$A,0)-1,MATCH(BE$87&amp;"_"&amp;BC103,Tab.Uncertainty.Levels!$1:$1,0)-1)</f>
        <v>0.3</v>
      </c>
      <c r="BF103" s="32" t="str">
        <f t="shared" si="10"/>
        <v>-</v>
      </c>
      <c r="BG103" s="20" t="e">
        <f ca="1">OFFSET(Tab.Uncertainty.Levels!$A$1,MATCH(BG$88,Tab.Uncertainty.Levels!$A:$A,0)-1,MATCH(BG$87&amp;"_"&amp;BF103,Tab.Uncertainty.Levels!$1:$1,0)-1)</f>
        <v>#N/A</v>
      </c>
      <c r="BH103" s="24" t="e">
        <f ca="1">OFFSET(Tab.Uncertainty.Levels!$A$1,MATCH(BH$88,Tab.Uncertainty.Levels!$A:$A,0)-1,MATCH(BH$87&amp;"_"&amp;BF103,Tab.Uncertainty.Levels!$1:$1,0)-1)</f>
        <v>#N/A</v>
      </c>
      <c r="BI103" s="32" t="str">
        <f t="shared" si="31"/>
        <v>D</v>
      </c>
      <c r="BJ103" s="13">
        <f ca="1">IF(BF103="-",BE103,BH103)</f>
        <v>0.3</v>
      </c>
      <c r="BK103" s="32" t="str">
        <f>IF(OR($L103="NoDataSource",IFERROR(IF($S103="",#N/A,$S103),0)=0),IF(IFERROR(IF(U103="",#N/A,U103),0)=0,"E","D"),IF($L103="DesignDataPlusQA","A",IF($L103="DesignData","B","C")))</f>
        <v>D</v>
      </c>
      <c r="BL103" s="20" t="str">
        <f ca="1">OFFSET(Tab.Uncertainty.Levels!$A$1,MATCH(BL$88,Tab.Uncertainty.Levels!$A:$A,0)-1,MATCH(BL$87&amp;"_"&amp;BK103,Tab.Uncertainty.Levels!$1:$1,0)-1)</f>
        <v>Insulation available; insulation thickness unknown</v>
      </c>
      <c r="BM103" s="24">
        <f ca="1">OFFSET(Tab.Uncertainty.Levels!$A$1,MATCH(BM$88,Tab.Uncertainty.Levels!$A:$A,0)-1,MATCH(BM$87&amp;"_"&amp;BK103,Tab.Uncertainty.Levels!$1:$1,0)-1)</f>
        <v>0.4</v>
      </c>
      <c r="BN103" s="34">
        <f ca="1">OFFSET(Tab.Uncertainty.Levels!$A$1,MATCH(BN$88,Tab.Uncertainty.Levels!$A:$A,0)-1,MATCH(BN$87&amp;"_"&amp;BK103,Tab.Uncertainty.Levels!$1:$1,0)-1)</f>
        <v>5</v>
      </c>
      <c r="BO103" s="13">
        <f ca="1">IFERROR(MIN(BM103,BN103/AN103),0)</f>
        <v>0</v>
      </c>
      <c r="BP103" s="32" t="str">
        <f>IF(OR($L103="NoDataSource",IFERROR(IF($V103="",#N/A,$V103),0)=0),IF(IFERROR(IF(U103="",#N/A,U103),0)=0,"E","D"),IF($L103="DesignDataPlusQA","A",IF($L103="DesignData","B","C")))</f>
        <v>D</v>
      </c>
      <c r="BQ103" s="20" t="str">
        <f ca="1">OFFSET(Tab.Uncertainty.Levels!$A$1,MATCH(BQ$88,Tab.Uncertainty.Levels!$A:$A,0)-1,MATCH(BQ$87&amp;"_"&amp;BP103,Tab.Uncertainty.Levels!$1:$1,0)-1)</f>
        <v>Insulation available; no information about material</v>
      </c>
      <c r="BR103" s="97">
        <f ca="1">OFFSET(Tab.Uncertainty.Levels!$A$1,MATCH(BR$88,Tab.Uncertainty.Levels!$A:$A,0)-1,MATCH(BR$87&amp;"_"&amp;BP103,Tab.Uncertainty.Levels!$1:$1,0)-1)</f>
        <v>0.2</v>
      </c>
      <c r="BS103" s="32" t="str">
        <f>IF(L103="NoDataSource","D",IF(IFERROR(IF($T103="",#N/A,$T103),0)=0,IF(OR(IFERROR(IF($S103="",#N/A,$S103),0)&gt;0,$R103="Refurbish"),"D","E"),IF($L103="DesignDataPlusQA","A",IF($L103="DesignData","B","C"))))</f>
        <v>E</v>
      </c>
      <c r="BT103" s="20" t="str">
        <f ca="1">OFFSET(Tab.Uncertainty.Levels!$A$1,MATCH(BT$88,Tab.Uncertainty.Levels!$A:$A,0)-1,MATCH(BT$87&amp;"_"&amp;BS103,Tab.Uncertainty.Levels!$1:$1,0)-1)</f>
        <v>Unknown if insulation has been applied (default fraction value is the average insulation fraction for all buildings)</v>
      </c>
      <c r="BU103" s="33">
        <f ca="1">OFFSET(Tab.Uncertainty.Levels!$A$1,MATCH(BU$88,Tab.Uncertainty.Levels!$A:$A,0)-1,MATCH(BU$87&amp;"_"&amp;BS103,Tab.Uncertainty.Levels!$1:$1,0)-1)</f>
        <v>0.5</v>
      </c>
      <c r="BV103" s="13">
        <f ca="1">IFERROR(MIN(BU103/AW103,1,(1-AW103)/AW103),0)</f>
        <v>0</v>
      </c>
      <c r="BW103" s="96">
        <f ca="1">ABS(1+(AW103*(1/(1+AN103/100/AP103*AG103)^2-1)))*BJ103*$AG103</f>
        <v>0.44999999999999996</v>
      </c>
      <c r="BX103" s="96">
        <f ca="1">ABS(-AG103+1/(1/AG103+AN103/100/AP103))*BV103*AW103</f>
        <v>0</v>
      </c>
      <c r="BY103" s="96">
        <f ca="1">ABS(-AW103*AP103/((AP103/AG103+AN103/100)^2))*(BO103*AN103/100)</f>
        <v>0</v>
      </c>
      <c r="BZ103" s="202">
        <f ca="1">ABS(AW103*AN103/100/(1/AG103*AP103+AN103/100)^2)*(BR103*AP103)</f>
        <v>0</v>
      </c>
      <c r="CA103" s="103">
        <f t="shared" ca="1" si="32"/>
        <v>0.44999999999999996</v>
      </c>
      <c r="CB103" s="37">
        <f t="shared" ca="1" si="11"/>
        <v>0.3</v>
      </c>
      <c r="CC103" s="37">
        <f t="shared" ca="1" si="12"/>
        <v>0</v>
      </c>
      <c r="CD103" s="37">
        <f t="shared" ca="1" si="13"/>
        <v>0</v>
      </c>
      <c r="CE103" s="37">
        <f t="shared" ca="1" si="14"/>
        <v>0</v>
      </c>
      <c r="CF103" s="13">
        <f t="shared" ca="1" si="15"/>
        <v>0.3</v>
      </c>
      <c r="CG103" s="101">
        <f ca="1">AG103</f>
        <v>1.5</v>
      </c>
      <c r="CH103" s="101">
        <f>AW103</f>
        <v>0</v>
      </c>
      <c r="CI103" s="203">
        <f>IF(CH103&gt;0,AN103,0)</f>
        <v>0</v>
      </c>
      <c r="CJ103" s="102">
        <f>IF(AND(CH103&gt;0,CI103&gt;0),AP103,0)</f>
        <v>0</v>
      </c>
      <c r="CK103" s="102">
        <f ca="1">BB103</f>
        <v>1.5</v>
      </c>
      <c r="CL103" s="37">
        <f t="shared" ca="1" si="16"/>
        <v>0.3</v>
      </c>
      <c r="CM103" s="37">
        <f t="shared" ca="1" si="17"/>
        <v>0</v>
      </c>
      <c r="CN103" s="37">
        <f t="shared" ca="1" si="18"/>
        <v>0</v>
      </c>
      <c r="CO103" s="37">
        <f t="shared" ca="1" si="19"/>
        <v>0.2</v>
      </c>
      <c r="CP103" s="37">
        <f t="shared" ca="1" si="20"/>
        <v>0.3</v>
      </c>
      <c r="CQ103" s="95">
        <f t="shared" ca="1" si="21"/>
        <v>0.44999999999999996</v>
      </c>
      <c r="CR103" s="95">
        <f t="shared" ca="1" si="22"/>
        <v>0</v>
      </c>
      <c r="CS103" s="95">
        <f t="shared" ca="1" si="23"/>
        <v>0</v>
      </c>
      <c r="CT103" s="103">
        <f t="shared" ca="1" si="24"/>
        <v>0</v>
      </c>
      <c r="CU103" s="95">
        <f t="shared" ca="1" si="25"/>
        <v>0.44999999999999996</v>
      </c>
      <c r="CV103" s="37">
        <f ca="1">$CB103^2/$CF103^2</f>
        <v>1</v>
      </c>
      <c r="CW103" s="37">
        <f ca="1">$CD103^2/$CF103^2</f>
        <v>0</v>
      </c>
      <c r="CX103" s="37">
        <f ca="1">$CE103^2/$CF103^2</f>
        <v>0</v>
      </c>
      <c r="CY103" s="37">
        <f ca="1">$CC103^2/$CF103^2</f>
        <v>0</v>
      </c>
      <c r="DA103" s="98" t="s">
        <v>456</v>
      </c>
      <c r="DB103" s="35">
        <f ca="1">OFFSET($A$1,ROW(DB103)-1,MATCH(DA103,$1:$1,0)-1)</f>
        <v>0</v>
      </c>
      <c r="DC103" s="9">
        <f ca="1">BB103</f>
        <v>1.5</v>
      </c>
      <c r="DD103" s="9">
        <f ca="1">$DC103+$CA103</f>
        <v>1.95</v>
      </c>
      <c r="DE103" s="9">
        <f ca="1">$DC103-$CA103</f>
        <v>1.05</v>
      </c>
      <c r="DF103" s="10">
        <f t="shared" ca="1" si="26"/>
        <v>0.3</v>
      </c>
    </row>
    <row r="104" spans="1:110" s="8" customFormat="1" ht="32.4" customHeight="1">
      <c r="A104" s="206" t="s">
        <v>550</v>
      </c>
      <c r="B104" s="208" t="s">
        <v>2340</v>
      </c>
      <c r="C104" s="206" t="s">
        <v>81</v>
      </c>
      <c r="D104" s="206"/>
      <c r="E104" s="206"/>
      <c r="F104" s="206"/>
      <c r="G104" s="206" t="s">
        <v>2170</v>
      </c>
      <c r="H104" s="206" t="s">
        <v>2171</v>
      </c>
      <c r="I104" s="156" t="s">
        <v>80</v>
      </c>
      <c r="J104" s="156" t="s">
        <v>134</v>
      </c>
      <c r="K104" s="156" t="s">
        <v>155</v>
      </c>
      <c r="L104" s="156" t="s">
        <v>66</v>
      </c>
      <c r="M104" s="156" t="s">
        <v>188</v>
      </c>
      <c r="N104" s="7">
        <v>1925</v>
      </c>
      <c r="O104" s="156">
        <v>1</v>
      </c>
      <c r="P104" s="156">
        <v>0</v>
      </c>
      <c r="Q104" s="156" t="s">
        <v>435</v>
      </c>
      <c r="R104" s="156" t="s">
        <v>58</v>
      </c>
      <c r="S104" s="19">
        <v>15</v>
      </c>
      <c r="T104" s="19">
        <v>0.5</v>
      </c>
      <c r="U104" s="19">
        <v>2016</v>
      </c>
      <c r="V104" s="19">
        <v>3.5000000000000003E-2</v>
      </c>
      <c r="W104" s="28" t="s">
        <v>59</v>
      </c>
      <c r="X104" s="19" t="e">
        <v>#N/A</v>
      </c>
      <c r="Y104" s="105">
        <f ca="1">IFERROR(OFFSET(Tab.Const.ConstrBorder!$A$1,MATCH(Q104,Tab.Const.ConstrBorder!$A:$A,0)-1,MATCH(Y$87,Tab.Const.ConstrBorder!$1:$1,0)-1),0)</f>
        <v>0</v>
      </c>
      <c r="Z104" s="18">
        <f t="shared" si="27"/>
        <v>1925</v>
      </c>
      <c r="AA104" s="17">
        <f>MATCH(Z104,Tab.Year.Period!$11:$11,1)-3</f>
        <v>3</v>
      </c>
      <c r="AB104" s="17">
        <f>MATCH(AB$88&amp;"."&amp;TEXT(AA104,"00"),Tab.U.Default!$A:$A,0)</f>
        <v>26</v>
      </c>
      <c r="AC104" s="105">
        <f ca="1">OFFSET(Tab.U.Default!$A$1,$AB104-1,MATCH("U_Class_"&amp;IF($J104="TopCeiling","UpperCeiling",$J104)&amp;"_"&amp;AC$87,Tab.U.Default!$1:$1,0)-1)</f>
        <v>1.5</v>
      </c>
      <c r="AD104" s="105">
        <f ca="1">OFFSET(Tab.U.Default!$A$1,$AB104-1,MATCH("U_Class_"&amp;IF($J104="TopCeiling","UpperCeiling",$J104)&amp;"_"&amp;AD$87,Tab.U.Default!$1:$1,0)-1)</f>
        <v>1.5</v>
      </c>
      <c r="AE104" s="105">
        <f ca="1">OFFSET(Tab.U.Default!$A$1,$AB104-1,MATCH("U_Class_"&amp;IF($J104="TopCeiling","UpperCeiling",$J104)&amp;"_"&amp;AE$87,Tab.U.Default!$1:$1,0)-1)</f>
        <v>1.5</v>
      </c>
      <c r="AF104" s="26">
        <f t="shared" ca="1" si="0"/>
        <v>1.5</v>
      </c>
      <c r="AG104" s="26">
        <f t="shared" ca="1" si="1"/>
        <v>1.5</v>
      </c>
      <c r="AH104" s="18" t="str">
        <f t="shared" si="2"/>
        <v>Refurbish</v>
      </c>
      <c r="AI104" s="18" t="str">
        <f t="shared" si="28"/>
        <v>Add</v>
      </c>
      <c r="AJ104" s="18">
        <f t="shared" si="3"/>
        <v>2016</v>
      </c>
      <c r="AK104" s="17">
        <f>MATCH(AJ104,Tab.Year.Period!$11:$11,1)-3</f>
        <v>12</v>
      </c>
      <c r="AL104" s="17">
        <f>MATCH(AL$88&amp;"."&amp;TEXT(AK104,"00"),Tab.Insulation.Default!$A:$A,0)</f>
        <v>23</v>
      </c>
      <c r="AM104" s="20" t="e">
        <f ca="1">IF(ISNA(IF(S104="",#N/A,S104)),OFFSET(Tab.Insulation.Default!$A$1,$AL104-1,MATCH(AM$87&amp;"_"&amp;$K104,Tab.Insulation.Default!$1:$1,0)-1),#N/A)</f>
        <v>#N/A</v>
      </c>
      <c r="AN104" s="27">
        <f t="shared" si="29"/>
        <v>15</v>
      </c>
      <c r="AO104" s="22" t="e">
        <f ca="1">IF(ISNA(IF(V104="",#N/A,V104)),OFFSET(Tab.Insulation.Default!$A$1,$AL104-1,MATCH(AO$87&amp;"_"&amp;$K104,Tab.Insulation.Default!$1:$1,0)-1),#N/A)</f>
        <v>#N/A</v>
      </c>
      <c r="AP104" s="23">
        <f t="shared" si="30"/>
        <v>3.5000000000000003E-2</v>
      </c>
      <c r="AQ104" s="29" t="str">
        <f t="shared" si="4"/>
        <v>Gen.Refurbished.12</v>
      </c>
      <c r="AR104" s="17">
        <f>MATCH(AR$88&amp;"."&amp;AQ104,Tab.Measure.f.Default!$A:$A,0)</f>
        <v>23</v>
      </c>
      <c r="AS104" s="21">
        <f ca="1">OFFSET(Tab.Measure.f.Default!$A$1,AR104-1,MATCH(AS$87&amp;"_"&amp;$J104,Tab.Measure.f.Default!$1:$1,0)-1)</f>
        <v>0.75</v>
      </c>
      <c r="AT104" s="29" t="str">
        <f t="shared" si="5"/>
        <v>MUH.NA.03</v>
      </c>
      <c r="AU104" s="17">
        <f>MATCH(AU$88&amp;"."&amp;AT104,Tab.Measure.f.Default!$A:$A,0)</f>
        <v>38</v>
      </c>
      <c r="AV104" s="21">
        <f ca="1">OFFSET(Tab.Measure.f.Default!$A$1,AU104-1,MATCH(AV$87&amp;"_"&amp;$J104,Tab.Measure.f.Default!$1:$1,0)-1)</f>
        <v>0.37</v>
      </c>
      <c r="AW104" s="30">
        <f t="shared" si="33"/>
        <v>0.5</v>
      </c>
      <c r="AX104" s="9">
        <f t="shared" ca="1" si="6"/>
        <v>0.66666666666666663</v>
      </c>
      <c r="AY104" s="9">
        <f t="shared" si="7"/>
        <v>4.2857142857142856</v>
      </c>
      <c r="AZ104" s="9">
        <f ca="1">AX104+AY104</f>
        <v>4.9523809523809526</v>
      </c>
      <c r="BA104" s="9">
        <f ca="1">1/AZ104</f>
        <v>0.20192307692307693</v>
      </c>
      <c r="BB104" s="9">
        <f t="shared" ca="1" si="8"/>
        <v>0.85096153846153844</v>
      </c>
      <c r="BC104" s="32" t="str">
        <f t="shared" si="9"/>
        <v>D</v>
      </c>
      <c r="BD104" s="20" t="str">
        <f ca="1">OFFSET(Tab.Uncertainty.Levels!$A$1,MATCH(BD$88,Tab.Uncertainty.Levels!$A:$A,0)-1,MATCH(BD$87&amp;"_"&amp;BC104,Tab.Uncertainty.Levels!$1:$1,0)-1)</f>
        <v>Use of default values; building constructed until 1983</v>
      </c>
      <c r="BE104" s="24">
        <f ca="1">OFFSET(Tab.Uncertainty.Levels!$A$1,MATCH(BE$88,Tab.Uncertainty.Levels!$A:$A,0)-1,MATCH(BE$87&amp;"_"&amp;BC104,Tab.Uncertainty.Levels!$1:$1,0)-1)</f>
        <v>0.3</v>
      </c>
      <c r="BF104" s="32" t="str">
        <f t="shared" si="10"/>
        <v>-</v>
      </c>
      <c r="BG104" s="20" t="e">
        <f ca="1">OFFSET(Tab.Uncertainty.Levels!$A$1,MATCH(BG$88,Tab.Uncertainty.Levels!$A:$A,0)-1,MATCH(BG$87&amp;"_"&amp;BF104,Tab.Uncertainty.Levels!$1:$1,0)-1)</f>
        <v>#N/A</v>
      </c>
      <c r="BH104" s="24" t="e">
        <f ca="1">OFFSET(Tab.Uncertainty.Levels!$A$1,MATCH(BH$88,Tab.Uncertainty.Levels!$A:$A,0)-1,MATCH(BH$87&amp;"_"&amp;BF104,Tab.Uncertainty.Levels!$1:$1,0)-1)</f>
        <v>#N/A</v>
      </c>
      <c r="BI104" s="32" t="str">
        <f t="shared" si="31"/>
        <v>D</v>
      </c>
      <c r="BJ104" s="13">
        <f ca="1">IF(BF104="-",BE104,BH104)</f>
        <v>0.3</v>
      </c>
      <c r="BK104" s="32" t="str">
        <f>IF(OR($L104="NoDataSource",IFERROR(IF($S104="",#N/A,$S104),0)=0),IF(IFERROR(IF(U104="",#N/A,U104),0)=0,"E","D"),IF($L104="DesignDataPlusQA","A",IF($L104="DesignData","B","C")))</f>
        <v>C</v>
      </c>
      <c r="BL104" s="20" t="str">
        <f ca="1">OFFSET(Tab.Uncertainty.Levels!$A$1,MATCH(BL$88,Tab.Uncertainty.Levels!$A:$A,0)-1,MATCH(BL$87&amp;"_"&amp;BK104,Tab.Uncertainty.Levels!$1:$1,0)-1)</f>
        <v>Insulation thickness determined by inspection onsite / record or statement of owner</v>
      </c>
      <c r="BM104" s="24">
        <f ca="1">OFFSET(Tab.Uncertainty.Levels!$A$1,MATCH(BM$88,Tab.Uncertainty.Levels!$A:$A,0)-1,MATCH(BM$87&amp;"_"&amp;BK104,Tab.Uncertainty.Levels!$1:$1,0)-1)</f>
        <v>0.25</v>
      </c>
      <c r="BN104" s="34">
        <f ca="1">OFFSET(Tab.Uncertainty.Levels!$A$1,MATCH(BN$88,Tab.Uncertainty.Levels!$A:$A,0)-1,MATCH(BN$87&amp;"_"&amp;BK104,Tab.Uncertainty.Levels!$1:$1,0)-1)</f>
        <v>2</v>
      </c>
      <c r="BO104" s="13">
        <f ca="1">IFERROR(MIN(BM104,BN104/AN104),0)</f>
        <v>0.13333333333333333</v>
      </c>
      <c r="BP104" s="32" t="str">
        <f>IF(OR($L104="NoDataSource",IFERROR(IF($V104="",#N/A,$V104),0)=0),IF(IFERROR(IF(U104="",#N/A,U104),0)=0,"E","D"),IF($L104="DesignDataPlusQA","A",IF($L104="DesignData","B","C")))</f>
        <v>C</v>
      </c>
      <c r="BQ104" s="20" t="str">
        <f ca="1">OFFSET(Tab.Uncertainty.Levels!$A$1,MATCH(BQ$88,Tab.Uncertainty.Levels!$A:$A,0)-1,MATCH(BQ$87&amp;"_"&amp;BP104,Tab.Uncertainty.Levels!$1:$1,0)-1)</f>
        <v>Thermal conductivity of Insulation determined by inspection onsite / record or statement of owner</v>
      </c>
      <c r="BR104" s="97">
        <f ca="1">OFFSET(Tab.Uncertainty.Levels!$A$1,MATCH(BR$88,Tab.Uncertainty.Levels!$A:$A,0)-1,MATCH(BR$87&amp;"_"&amp;BP104,Tab.Uncertainty.Levels!$1:$1,0)-1)</f>
        <v>0.15</v>
      </c>
      <c r="BS104" s="32" t="str">
        <f>IF(L104="NoDataSource","D",IF(IFERROR(IF($T104="",#N/A,$T104),0)=0,IF(OR(IFERROR(IF($S104="",#N/A,$S104),0)&gt;0,$R104="Refurbish"),"D","E"),IF($L104="DesignDataPlusQA","A",IF($L104="DesignData","B","C"))))</f>
        <v>C</v>
      </c>
      <c r="BT104" s="20" t="str">
        <f ca="1">OFFSET(Tab.Uncertainty.Levels!$A$1,MATCH(BT$88,Tab.Uncertainty.Levels!$A:$A,0)-1,MATCH(BT$87&amp;"_"&amp;BS104,Tab.Uncertainty.Levels!$1:$1,0)-1)</f>
        <v>Insulation fraction determined by inspection onsite / record or statement of owner</v>
      </c>
      <c r="BU104" s="33">
        <f ca="1">OFFSET(Tab.Uncertainty.Levels!$A$1,MATCH(BU$88,Tab.Uncertainty.Levels!$A:$A,0)-1,MATCH(BU$87&amp;"_"&amp;BS104,Tab.Uncertainty.Levels!$1:$1,0)-1)</f>
        <v>0.2</v>
      </c>
      <c r="BV104" s="13">
        <f ca="1">IFERROR(MIN(BU104/AW104,1,(1-AW104)/AW104),0)</f>
        <v>0.4</v>
      </c>
      <c r="BW104" s="96">
        <f ca="1">ABS(1+(AW104*(1/(1+AN104/100/AP104*AG104)^2-1)))*BJ104*$AG104</f>
        <v>0.22907729289940826</v>
      </c>
      <c r="BX104" s="96">
        <f ca="1">ABS(-AG104+1/(1/AG104+AN104/100/AP104))*BV104*AW104</f>
        <v>0.25961538461538464</v>
      </c>
      <c r="BY104" s="96">
        <f ca="1">ABS(-AW104*AP104/((AP104/AG104+AN104/100)^2))*(BO104*AN104/100)</f>
        <v>1.1649408284023667E-2</v>
      </c>
      <c r="BZ104" s="202">
        <f ca="1">ABS(AW104*AN104/100/(1/AG104*AP104+AN104/100)^2)*(BR104*AP104)</f>
        <v>1.3105584319526627E-2</v>
      </c>
      <c r="CA104" s="103">
        <f t="shared" ca="1" si="32"/>
        <v>0.34667566846382442</v>
      </c>
      <c r="CB104" s="37">
        <f t="shared" ca="1" si="11"/>
        <v>0.26919817470664925</v>
      </c>
      <c r="CC104" s="37">
        <f t="shared" ca="1" si="12"/>
        <v>0.30508474576271188</v>
      </c>
      <c r="CD104" s="37">
        <f t="shared" ca="1" si="13"/>
        <v>1.3689700130378096E-2</v>
      </c>
      <c r="CE104" s="37">
        <f t="shared" ca="1" si="14"/>
        <v>1.5400912646675358E-2</v>
      </c>
      <c r="CF104" s="13">
        <f t="shared" ca="1" si="15"/>
        <v>0.40739287593488971</v>
      </c>
      <c r="CG104" s="101">
        <f ca="1">AG104</f>
        <v>1.5</v>
      </c>
      <c r="CH104" s="101">
        <f>AW104</f>
        <v>0.5</v>
      </c>
      <c r="CI104" s="203">
        <f>IF(CH104&gt;0,AN104,0)</f>
        <v>15</v>
      </c>
      <c r="CJ104" s="102">
        <f>IF(AND(CH104&gt;0,CI104&gt;0),AP104,0)</f>
        <v>3.5000000000000003E-2</v>
      </c>
      <c r="CK104" s="102">
        <f ca="1">BB104</f>
        <v>0.85096153846153844</v>
      </c>
      <c r="CL104" s="37">
        <f t="shared" ca="1" si="16"/>
        <v>0.3</v>
      </c>
      <c r="CM104" s="37">
        <f t="shared" ca="1" si="17"/>
        <v>0.4</v>
      </c>
      <c r="CN104" s="37">
        <f t="shared" ca="1" si="18"/>
        <v>0.13333333333333333</v>
      </c>
      <c r="CO104" s="37">
        <f t="shared" ca="1" si="19"/>
        <v>0.15</v>
      </c>
      <c r="CP104" s="37">
        <f t="shared" ca="1" si="20"/>
        <v>0.40739287593488971</v>
      </c>
      <c r="CQ104" s="95">
        <f t="shared" ca="1" si="21"/>
        <v>0.44999999999999996</v>
      </c>
      <c r="CR104" s="95">
        <f t="shared" ca="1" si="22"/>
        <v>0.2</v>
      </c>
      <c r="CS104" s="95">
        <f t="shared" ca="1" si="23"/>
        <v>2</v>
      </c>
      <c r="CT104" s="103">
        <f t="shared" ca="1" si="24"/>
        <v>5.2500000000000003E-3</v>
      </c>
      <c r="CU104" s="95">
        <f t="shared" ca="1" si="25"/>
        <v>0.34667566846382442</v>
      </c>
      <c r="CV104" s="37">
        <f ca="1">$CB104^2/$CF104^2</f>
        <v>0.43663380966103998</v>
      </c>
      <c r="CW104" s="37">
        <f ca="1">$CD104^2/$CF104^2</f>
        <v>1.1291743642679911E-3</v>
      </c>
      <c r="CX104" s="37">
        <f ca="1">$CE104^2/$CF104^2</f>
        <v>1.4291113047766764E-3</v>
      </c>
      <c r="CY104" s="37">
        <f ca="1">$CC104^2/$CF104^2</f>
        <v>0.56080790466991515</v>
      </c>
      <c r="DA104" s="98" t="s">
        <v>456</v>
      </c>
      <c r="DB104" s="35">
        <f ca="1">OFFSET($A$1,ROW(DB104)-1,MATCH(DA104,$1:$1,0)-1)</f>
        <v>0.5</v>
      </c>
      <c r="DC104" s="9">
        <f ca="1">BB104</f>
        <v>0.85096153846153844</v>
      </c>
      <c r="DD104" s="9">
        <f ca="1">$DC104+$CA104</f>
        <v>1.1976372069253629</v>
      </c>
      <c r="DE104" s="9">
        <f ca="1">$DC104-$CA104</f>
        <v>0.50428586999771396</v>
      </c>
      <c r="DF104" s="10">
        <f t="shared" ca="1" si="26"/>
        <v>0.40739287593488976</v>
      </c>
    </row>
    <row r="105" spans="1:110" s="8" customFormat="1" ht="32.4" customHeight="1">
      <c r="A105" s="206" t="s">
        <v>551</v>
      </c>
      <c r="B105" s="208" t="s">
        <v>2340</v>
      </c>
      <c r="C105" s="206" t="s">
        <v>82</v>
      </c>
      <c r="D105" s="206"/>
      <c r="E105" s="206"/>
      <c r="F105" s="206"/>
      <c r="G105" s="206" t="s">
        <v>2170</v>
      </c>
      <c r="H105" s="206" t="s">
        <v>2171</v>
      </c>
      <c r="I105" s="156" t="s">
        <v>80</v>
      </c>
      <c r="J105" s="156" t="s">
        <v>134</v>
      </c>
      <c r="K105" s="156" t="s">
        <v>155</v>
      </c>
      <c r="L105" s="156" t="s">
        <v>66</v>
      </c>
      <c r="M105" s="156" t="s">
        <v>188</v>
      </c>
      <c r="N105" s="7">
        <v>1925</v>
      </c>
      <c r="O105" s="156">
        <v>1</v>
      </c>
      <c r="P105" s="156">
        <v>0</v>
      </c>
      <c r="Q105" s="156" t="s">
        <v>435</v>
      </c>
      <c r="R105" s="156" t="s">
        <v>58</v>
      </c>
      <c r="S105" s="19">
        <v>15</v>
      </c>
      <c r="T105" s="19">
        <v>1</v>
      </c>
      <c r="U105" s="19">
        <v>2016</v>
      </c>
      <c r="V105" s="19">
        <v>3.5000000000000003E-2</v>
      </c>
      <c r="W105" s="28" t="s">
        <v>59</v>
      </c>
      <c r="X105" s="19" t="e">
        <v>#N/A</v>
      </c>
      <c r="Y105" s="105">
        <f ca="1">IFERROR(OFFSET(Tab.Const.ConstrBorder!$A$1,MATCH(Q105,Tab.Const.ConstrBorder!$A:$A,0)-1,MATCH(Y$87,Tab.Const.ConstrBorder!$1:$1,0)-1),0)</f>
        <v>0</v>
      </c>
      <c r="Z105" s="18">
        <f t="shared" si="27"/>
        <v>1925</v>
      </c>
      <c r="AA105" s="17">
        <f>MATCH(Z105,Tab.Year.Period!$11:$11,1)-3</f>
        <v>3</v>
      </c>
      <c r="AB105" s="17">
        <f>MATCH(AB$88&amp;"."&amp;TEXT(AA105,"00"),Tab.U.Default!$A:$A,0)</f>
        <v>26</v>
      </c>
      <c r="AC105" s="105">
        <f ca="1">OFFSET(Tab.U.Default!$A$1,$AB105-1,MATCH("U_Class_"&amp;IF($J105="TopCeiling","UpperCeiling",$J105)&amp;"_"&amp;AC$87,Tab.U.Default!$1:$1,0)-1)</f>
        <v>1.5</v>
      </c>
      <c r="AD105" s="105">
        <f ca="1">OFFSET(Tab.U.Default!$A$1,$AB105-1,MATCH("U_Class_"&amp;IF($J105="TopCeiling","UpperCeiling",$J105)&amp;"_"&amp;AD$87,Tab.U.Default!$1:$1,0)-1)</f>
        <v>1.5</v>
      </c>
      <c r="AE105" s="105">
        <f ca="1">OFFSET(Tab.U.Default!$A$1,$AB105-1,MATCH("U_Class_"&amp;IF($J105="TopCeiling","UpperCeiling",$J105)&amp;"_"&amp;AE$87,Tab.U.Default!$1:$1,0)-1)</f>
        <v>1.5</v>
      </c>
      <c r="AF105" s="26">
        <f t="shared" ca="1" si="0"/>
        <v>1.5</v>
      </c>
      <c r="AG105" s="26">
        <f t="shared" ca="1" si="1"/>
        <v>1.5</v>
      </c>
      <c r="AH105" s="18" t="str">
        <f t="shared" si="2"/>
        <v>Refurbish</v>
      </c>
      <c r="AI105" s="18" t="str">
        <f t="shared" si="28"/>
        <v>Add</v>
      </c>
      <c r="AJ105" s="18">
        <f t="shared" si="3"/>
        <v>2016</v>
      </c>
      <c r="AK105" s="17">
        <f>MATCH(AJ105,Tab.Year.Period!$11:$11,1)-3</f>
        <v>12</v>
      </c>
      <c r="AL105" s="17">
        <f>MATCH(AL$88&amp;"."&amp;TEXT(AK105,"00"),Tab.Insulation.Default!$A:$A,0)</f>
        <v>23</v>
      </c>
      <c r="AM105" s="20" t="e">
        <f ca="1">IF(ISNA(IF(S105="",#N/A,S105)),OFFSET(Tab.Insulation.Default!$A$1,$AL105-1,MATCH(AM$87&amp;"_"&amp;$K105,Tab.Insulation.Default!$1:$1,0)-1),#N/A)</f>
        <v>#N/A</v>
      </c>
      <c r="AN105" s="27">
        <f t="shared" si="29"/>
        <v>15</v>
      </c>
      <c r="AO105" s="22" t="e">
        <f ca="1">IF(ISNA(IF(V105="",#N/A,V105)),OFFSET(Tab.Insulation.Default!$A$1,$AL105-1,MATCH(AO$87&amp;"_"&amp;$K105,Tab.Insulation.Default!$1:$1,0)-1),#N/A)</f>
        <v>#N/A</v>
      </c>
      <c r="AP105" s="23">
        <f t="shared" si="30"/>
        <v>3.5000000000000003E-2</v>
      </c>
      <c r="AQ105" s="29" t="str">
        <f t="shared" si="4"/>
        <v>Gen.Refurbished.12</v>
      </c>
      <c r="AR105" s="17">
        <f>MATCH(AR$88&amp;"."&amp;AQ105,Tab.Measure.f.Default!$A:$A,0)</f>
        <v>23</v>
      </c>
      <c r="AS105" s="21">
        <f ca="1">OFFSET(Tab.Measure.f.Default!$A$1,AR105-1,MATCH(AS$87&amp;"_"&amp;$J105,Tab.Measure.f.Default!$1:$1,0)-1)</f>
        <v>0.75</v>
      </c>
      <c r="AT105" s="29" t="str">
        <f t="shared" si="5"/>
        <v>MUH.NA.03</v>
      </c>
      <c r="AU105" s="17">
        <f>MATCH(AU$88&amp;"."&amp;AT105,Tab.Measure.f.Default!$A:$A,0)</f>
        <v>38</v>
      </c>
      <c r="AV105" s="21">
        <f ca="1">OFFSET(Tab.Measure.f.Default!$A$1,AU105-1,MATCH(AV$87&amp;"_"&amp;$J105,Tab.Measure.f.Default!$1:$1,0)-1)</f>
        <v>0.37</v>
      </c>
      <c r="AW105" s="30">
        <f t="shared" si="33"/>
        <v>1</v>
      </c>
      <c r="AX105" s="9">
        <f t="shared" ca="1" si="6"/>
        <v>0.66666666666666663</v>
      </c>
      <c r="AY105" s="9">
        <f t="shared" si="7"/>
        <v>4.2857142857142856</v>
      </c>
      <c r="AZ105" s="9">
        <f ca="1">AX105+AY105</f>
        <v>4.9523809523809526</v>
      </c>
      <c r="BA105" s="9">
        <f ca="1">1/AZ105</f>
        <v>0.20192307692307693</v>
      </c>
      <c r="BB105" s="9">
        <f t="shared" ca="1" si="8"/>
        <v>0.20192307692307693</v>
      </c>
      <c r="BC105" s="32" t="str">
        <f t="shared" si="9"/>
        <v>D</v>
      </c>
      <c r="BD105" s="20" t="str">
        <f ca="1">OFFSET(Tab.Uncertainty.Levels!$A$1,MATCH(BD$88,Tab.Uncertainty.Levels!$A:$A,0)-1,MATCH(BD$87&amp;"_"&amp;BC105,Tab.Uncertainty.Levels!$1:$1,0)-1)</f>
        <v>Use of default values; building constructed until 1983</v>
      </c>
      <c r="BE105" s="24">
        <f ca="1">OFFSET(Tab.Uncertainty.Levels!$A$1,MATCH(BE$88,Tab.Uncertainty.Levels!$A:$A,0)-1,MATCH(BE$87&amp;"_"&amp;BC105,Tab.Uncertainty.Levels!$1:$1,0)-1)</f>
        <v>0.3</v>
      </c>
      <c r="BF105" s="32" t="str">
        <f t="shared" si="10"/>
        <v>-</v>
      </c>
      <c r="BG105" s="20" t="e">
        <f ca="1">OFFSET(Tab.Uncertainty.Levels!$A$1,MATCH(BG$88,Tab.Uncertainty.Levels!$A:$A,0)-1,MATCH(BG$87&amp;"_"&amp;BF105,Tab.Uncertainty.Levels!$1:$1,0)-1)</f>
        <v>#N/A</v>
      </c>
      <c r="BH105" s="24" t="e">
        <f ca="1">OFFSET(Tab.Uncertainty.Levels!$A$1,MATCH(BH$88,Tab.Uncertainty.Levels!$A:$A,0)-1,MATCH(BH$87&amp;"_"&amp;BF105,Tab.Uncertainty.Levels!$1:$1,0)-1)</f>
        <v>#N/A</v>
      </c>
      <c r="BI105" s="32" t="str">
        <f t="shared" si="31"/>
        <v>D</v>
      </c>
      <c r="BJ105" s="13">
        <f ca="1">IF(BF105="-",BE105,BH105)</f>
        <v>0.3</v>
      </c>
      <c r="BK105" s="32" t="str">
        <f>IF(OR($L105="NoDataSource",IFERROR(IF($S105="",#N/A,$S105),0)=0),IF(IFERROR(IF(U105="",#N/A,U105),0)=0,"E","D"),IF($L105="DesignDataPlusQA","A",IF($L105="DesignData","B","C")))</f>
        <v>C</v>
      </c>
      <c r="BL105" s="20" t="str">
        <f ca="1">OFFSET(Tab.Uncertainty.Levels!$A$1,MATCH(BL$88,Tab.Uncertainty.Levels!$A:$A,0)-1,MATCH(BL$87&amp;"_"&amp;BK105,Tab.Uncertainty.Levels!$1:$1,0)-1)</f>
        <v>Insulation thickness determined by inspection onsite / record or statement of owner</v>
      </c>
      <c r="BM105" s="24">
        <f ca="1">OFFSET(Tab.Uncertainty.Levels!$A$1,MATCH(BM$88,Tab.Uncertainty.Levels!$A:$A,0)-1,MATCH(BM$87&amp;"_"&amp;BK105,Tab.Uncertainty.Levels!$1:$1,0)-1)</f>
        <v>0.25</v>
      </c>
      <c r="BN105" s="34">
        <f ca="1">OFFSET(Tab.Uncertainty.Levels!$A$1,MATCH(BN$88,Tab.Uncertainty.Levels!$A:$A,0)-1,MATCH(BN$87&amp;"_"&amp;BK105,Tab.Uncertainty.Levels!$1:$1,0)-1)</f>
        <v>2</v>
      </c>
      <c r="BO105" s="13">
        <f ca="1">IFERROR(MIN(BM105,BN105/AN105),0)</f>
        <v>0.13333333333333333</v>
      </c>
      <c r="BP105" s="32" t="str">
        <f>IF(OR($L105="NoDataSource",IFERROR(IF($V105="",#N/A,$V105),0)=0),IF(IFERROR(IF(U105="",#N/A,U105),0)=0,"E","D"),IF($L105="DesignDataPlusQA","A",IF($L105="DesignData","B","C")))</f>
        <v>C</v>
      </c>
      <c r="BQ105" s="20" t="str">
        <f ca="1">OFFSET(Tab.Uncertainty.Levels!$A$1,MATCH(BQ$88,Tab.Uncertainty.Levels!$A:$A,0)-1,MATCH(BQ$87&amp;"_"&amp;BP105,Tab.Uncertainty.Levels!$1:$1,0)-1)</f>
        <v>Thermal conductivity of Insulation determined by inspection onsite / record or statement of owner</v>
      </c>
      <c r="BR105" s="97">
        <f ca="1">OFFSET(Tab.Uncertainty.Levels!$A$1,MATCH(BR$88,Tab.Uncertainty.Levels!$A:$A,0)-1,MATCH(BR$87&amp;"_"&amp;BP105,Tab.Uncertainty.Levels!$1:$1,0)-1)</f>
        <v>0.15</v>
      </c>
      <c r="BS105" s="32" t="str">
        <f>IF(L105="NoDataSource","D",IF(IFERROR(IF($T105="",#N/A,$T105),0)=0,IF(OR(IFERROR(IF($S105="",#N/A,$S105),0)&gt;0,$R105="Refurbish"),"D","E"),IF($L105="DesignDataPlusQA","A",IF($L105="DesignData","B","C"))))</f>
        <v>C</v>
      </c>
      <c r="BT105" s="20" t="str">
        <f ca="1">OFFSET(Tab.Uncertainty.Levels!$A$1,MATCH(BT$88,Tab.Uncertainty.Levels!$A:$A,0)-1,MATCH(BT$87&amp;"_"&amp;BS105,Tab.Uncertainty.Levels!$1:$1,0)-1)</f>
        <v>Insulation fraction determined by inspection onsite / record or statement of owner</v>
      </c>
      <c r="BU105" s="33">
        <f ca="1">OFFSET(Tab.Uncertainty.Levels!$A$1,MATCH(BU$88,Tab.Uncertainty.Levels!$A:$A,0)-1,MATCH(BU$87&amp;"_"&amp;BS105,Tab.Uncertainty.Levels!$1:$1,0)-1)</f>
        <v>0.2</v>
      </c>
      <c r="BV105" s="13">
        <f ca="1">IFERROR(MIN(BU105/AW105,1,(1-AW105)/AW105),0)</f>
        <v>0</v>
      </c>
      <c r="BW105" s="96">
        <f ca="1">ABS(1+(AW105*(1/(1+AN105/100/AP105*AG105)^2-1)))*BJ105*$AG105</f>
        <v>8.1545857988165656E-3</v>
      </c>
      <c r="BX105" s="96">
        <f ca="1">ABS(-AG105+1/(1/AG105+AN105/100/AP105))*BV105*AW105</f>
        <v>0</v>
      </c>
      <c r="BY105" s="96">
        <f ca="1">ABS(-AW105*AP105/((AP105/AG105+AN105/100)^2))*(BO105*AN105/100)</f>
        <v>2.3298816568047335E-2</v>
      </c>
      <c r="BZ105" s="202">
        <f ca="1">ABS(AW105*AN105/100/(1/AG105*AP105+AN105/100)^2)*(BR105*AP105)</f>
        <v>2.6211168639053255E-2</v>
      </c>
      <c r="CA105" s="103">
        <f t="shared" ca="1" si="32"/>
        <v>3.600496471941983E-2</v>
      </c>
      <c r="CB105" s="37">
        <f t="shared" ca="1" si="11"/>
        <v>4.0384615384615373E-2</v>
      </c>
      <c r="CC105" s="37">
        <f t="shared" ca="1" si="12"/>
        <v>0</v>
      </c>
      <c r="CD105" s="37">
        <f t="shared" ca="1" si="13"/>
        <v>0.11538461538461536</v>
      </c>
      <c r="CE105" s="37">
        <f t="shared" ca="1" si="14"/>
        <v>0.12980769230769232</v>
      </c>
      <c r="CF105" s="13">
        <f t="shared" ca="1" si="15"/>
        <v>0.17831030146760296</v>
      </c>
      <c r="CG105" s="101">
        <f ca="1">AG105</f>
        <v>1.5</v>
      </c>
      <c r="CH105" s="101">
        <f>AW105</f>
        <v>1</v>
      </c>
      <c r="CI105" s="203">
        <f>IF(CH105&gt;0,AN105,0)</f>
        <v>15</v>
      </c>
      <c r="CJ105" s="102">
        <f>IF(AND(CH105&gt;0,CI105&gt;0),AP105,0)</f>
        <v>3.5000000000000003E-2</v>
      </c>
      <c r="CK105" s="102">
        <f ca="1">BB105</f>
        <v>0.20192307692307693</v>
      </c>
      <c r="CL105" s="37">
        <f t="shared" ca="1" si="16"/>
        <v>0.3</v>
      </c>
      <c r="CM105" s="37">
        <f t="shared" ca="1" si="17"/>
        <v>0</v>
      </c>
      <c r="CN105" s="37">
        <f t="shared" ca="1" si="18"/>
        <v>0.13333333333333333</v>
      </c>
      <c r="CO105" s="37">
        <f t="shared" ca="1" si="19"/>
        <v>0.15</v>
      </c>
      <c r="CP105" s="37">
        <f t="shared" ca="1" si="20"/>
        <v>0.17831030146760296</v>
      </c>
      <c r="CQ105" s="95">
        <f t="shared" ca="1" si="21"/>
        <v>0.44999999999999996</v>
      </c>
      <c r="CR105" s="95">
        <f t="shared" ca="1" si="22"/>
        <v>0</v>
      </c>
      <c r="CS105" s="95">
        <f t="shared" ca="1" si="23"/>
        <v>2</v>
      </c>
      <c r="CT105" s="103">
        <f t="shared" ca="1" si="24"/>
        <v>5.2500000000000003E-3</v>
      </c>
      <c r="CU105" s="95">
        <f t="shared" ca="1" si="25"/>
        <v>3.600496471941983E-2</v>
      </c>
      <c r="CV105" s="37">
        <f ca="1">$CB105^2/$CF105^2</f>
        <v>5.1295472389426819E-2</v>
      </c>
      <c r="CW105" s="37">
        <f ca="1">$CD105^2/$CF105^2</f>
        <v>0.41873855011777011</v>
      </c>
      <c r="CX105" s="37">
        <f ca="1">$CE105^2/$CF105^2</f>
        <v>0.52996597749280305</v>
      </c>
      <c r="CY105" s="37">
        <f ca="1">$CC105^2/$CF105^2</f>
        <v>0</v>
      </c>
      <c r="DA105" s="98" t="s">
        <v>456</v>
      </c>
      <c r="DB105" s="35">
        <f ca="1">OFFSET($A$1,ROW(DB105)-1,MATCH(DA105,$1:$1,0)-1)</f>
        <v>1</v>
      </c>
      <c r="DC105" s="9">
        <f ca="1">BB105</f>
        <v>0.20192307692307693</v>
      </c>
      <c r="DD105" s="9">
        <f ca="1">$DC105+$CA105</f>
        <v>0.23792804164249676</v>
      </c>
      <c r="DE105" s="9">
        <f ca="1">$DC105-$CA105</f>
        <v>0.1659181122036571</v>
      </c>
      <c r="DF105" s="10">
        <f t="shared" ca="1" si="26"/>
        <v>0.17831030146760296</v>
      </c>
    </row>
    <row r="106" spans="1:110" s="8" customFormat="1" ht="32.4" customHeight="1">
      <c r="A106" s="206" t="s">
        <v>552</v>
      </c>
      <c r="B106" s="208" t="s">
        <v>2340</v>
      </c>
      <c r="C106" s="206" t="s">
        <v>53</v>
      </c>
      <c r="D106" s="206"/>
      <c r="E106" s="206"/>
      <c r="F106" s="206"/>
      <c r="G106" s="206" t="s">
        <v>2170</v>
      </c>
      <c r="H106" s="206" t="s">
        <v>2171</v>
      </c>
      <c r="I106" s="156" t="s">
        <v>80</v>
      </c>
      <c r="J106" s="156" t="s">
        <v>134</v>
      </c>
      <c r="K106" s="156" t="s">
        <v>155</v>
      </c>
      <c r="L106" s="156" t="s">
        <v>66</v>
      </c>
      <c r="M106" s="156" t="s">
        <v>188</v>
      </c>
      <c r="N106" s="7">
        <v>1925</v>
      </c>
      <c r="O106" s="156">
        <v>1</v>
      </c>
      <c r="P106" s="156">
        <v>0</v>
      </c>
      <c r="Q106" s="156" t="s">
        <v>435</v>
      </c>
      <c r="R106" s="156" t="s">
        <v>58</v>
      </c>
      <c r="S106" s="19" t="e">
        <v>#N/A</v>
      </c>
      <c r="T106" s="19" t="e">
        <v>#N/A</v>
      </c>
      <c r="U106" s="19">
        <v>2016</v>
      </c>
      <c r="V106" s="19" t="e">
        <v>#N/A</v>
      </c>
      <c r="W106" s="28" t="s">
        <v>59</v>
      </c>
      <c r="X106" s="19" t="e">
        <v>#N/A</v>
      </c>
      <c r="Y106" s="105">
        <f ca="1">IFERROR(OFFSET(Tab.Const.ConstrBorder!$A$1,MATCH(Q106,Tab.Const.ConstrBorder!$A:$A,0)-1,MATCH(Y$87,Tab.Const.ConstrBorder!$1:$1,0)-1),0)</f>
        <v>0</v>
      </c>
      <c r="Z106" s="18">
        <f t="shared" si="27"/>
        <v>1925</v>
      </c>
      <c r="AA106" s="17">
        <f>MATCH(Z106,Tab.Year.Period!$11:$11,1)-3</f>
        <v>3</v>
      </c>
      <c r="AB106" s="17">
        <f>MATCH(AB$88&amp;"."&amp;TEXT(AA106,"00"),Tab.U.Default!$A:$A,0)</f>
        <v>26</v>
      </c>
      <c r="AC106" s="105">
        <f ca="1">OFFSET(Tab.U.Default!$A$1,$AB106-1,MATCH("U_Class_"&amp;IF($J106="TopCeiling","UpperCeiling",$J106)&amp;"_"&amp;AC$87,Tab.U.Default!$1:$1,0)-1)</f>
        <v>1.5</v>
      </c>
      <c r="AD106" s="105">
        <f ca="1">OFFSET(Tab.U.Default!$A$1,$AB106-1,MATCH("U_Class_"&amp;IF($J106="TopCeiling","UpperCeiling",$J106)&amp;"_"&amp;AD$87,Tab.U.Default!$1:$1,0)-1)</f>
        <v>1.5</v>
      </c>
      <c r="AE106" s="105">
        <f ca="1">OFFSET(Tab.U.Default!$A$1,$AB106-1,MATCH("U_Class_"&amp;IF($J106="TopCeiling","UpperCeiling",$J106)&amp;"_"&amp;AE$87,Tab.U.Default!$1:$1,0)-1)</f>
        <v>1.5</v>
      </c>
      <c r="AF106" s="26">
        <f t="shared" ca="1" si="0"/>
        <v>1.5</v>
      </c>
      <c r="AG106" s="26">
        <f t="shared" ca="1" si="1"/>
        <v>1.5</v>
      </c>
      <c r="AH106" s="18" t="str">
        <f t="shared" si="2"/>
        <v>Refurbish</v>
      </c>
      <c r="AI106" s="18" t="str">
        <f t="shared" si="28"/>
        <v>Add</v>
      </c>
      <c r="AJ106" s="18">
        <f t="shared" si="3"/>
        <v>2016</v>
      </c>
      <c r="AK106" s="17">
        <f>MATCH(AJ106,Tab.Year.Period!$11:$11,1)-3</f>
        <v>12</v>
      </c>
      <c r="AL106" s="17">
        <f>MATCH(AL$88&amp;"."&amp;TEXT(AK106,"00"),Tab.Insulation.Default!$A:$A,0)</f>
        <v>23</v>
      </c>
      <c r="AM106" s="20">
        <f ca="1">IF(ISNA(IF(S106="",#N/A,S106)),OFFSET(Tab.Insulation.Default!$A$1,$AL106-1,MATCH(AM$87&amp;"_"&amp;$K106,Tab.Insulation.Default!$1:$1,0)-1),#N/A)</f>
        <v>12</v>
      </c>
      <c r="AN106" s="27">
        <f t="shared" ca="1" si="29"/>
        <v>12</v>
      </c>
      <c r="AO106" s="22">
        <f ca="1">IF(ISNA(IF(V106="",#N/A,V106)),OFFSET(Tab.Insulation.Default!$A$1,$AL106-1,MATCH(AO$87&amp;"_"&amp;$K106,Tab.Insulation.Default!$1:$1,0)-1),#N/A)</f>
        <v>3.5000000000000003E-2</v>
      </c>
      <c r="AP106" s="23">
        <f t="shared" ca="1" si="30"/>
        <v>3.5000000000000003E-2</v>
      </c>
      <c r="AQ106" s="29" t="str">
        <f t="shared" si="4"/>
        <v>Gen.Refurbished.12</v>
      </c>
      <c r="AR106" s="17">
        <f>MATCH(AR$88&amp;"."&amp;AQ106,Tab.Measure.f.Default!$A:$A,0)</f>
        <v>23</v>
      </c>
      <c r="AS106" s="21">
        <f ca="1">OFFSET(Tab.Measure.f.Default!$A$1,AR106-1,MATCH(AS$87&amp;"_"&amp;$J106,Tab.Measure.f.Default!$1:$1,0)-1)</f>
        <v>0.75</v>
      </c>
      <c r="AT106" s="29" t="str">
        <f t="shared" si="5"/>
        <v>MUH.NA.03</v>
      </c>
      <c r="AU106" s="17">
        <f>MATCH(AU$88&amp;"."&amp;AT106,Tab.Measure.f.Default!$A:$A,0)</f>
        <v>38</v>
      </c>
      <c r="AV106" s="21">
        <f ca="1">OFFSET(Tab.Measure.f.Default!$A$1,AU106-1,MATCH(AV$87&amp;"_"&amp;$J106,Tab.Measure.f.Default!$1:$1,0)-1)</f>
        <v>0.37</v>
      </c>
      <c r="AW106" s="30">
        <f t="shared" ca="1" si="33"/>
        <v>0.75</v>
      </c>
      <c r="AX106" s="9">
        <f t="shared" ca="1" si="6"/>
        <v>0.66666666666666663</v>
      </c>
      <c r="AY106" s="9">
        <f t="shared" ca="1" si="7"/>
        <v>3.4285714285714279</v>
      </c>
      <c r="AZ106" s="9">
        <f t="shared" ref="AZ106:AZ112" ca="1" si="34">AX106+AY106</f>
        <v>4.0952380952380949</v>
      </c>
      <c r="BA106" s="9">
        <f t="shared" ref="BA106:BA112" ca="1" si="35">1/AZ106</f>
        <v>0.24418604651162792</v>
      </c>
      <c r="BB106" s="9">
        <f t="shared" ca="1" si="8"/>
        <v>0.55813953488372092</v>
      </c>
      <c r="BC106" s="32" t="str">
        <f t="shared" si="9"/>
        <v>D</v>
      </c>
      <c r="BD106" s="20" t="str">
        <f ca="1">OFFSET(Tab.Uncertainty.Levels!$A$1,MATCH(BD$88,Tab.Uncertainty.Levels!$A:$A,0)-1,MATCH(BD$87&amp;"_"&amp;BC106,Tab.Uncertainty.Levels!$1:$1,0)-1)</f>
        <v>Use of default values; building constructed until 1983</v>
      </c>
      <c r="BE106" s="24">
        <f ca="1">OFFSET(Tab.Uncertainty.Levels!$A$1,MATCH(BE$88,Tab.Uncertainty.Levels!$A:$A,0)-1,MATCH(BE$87&amp;"_"&amp;BC106,Tab.Uncertainty.Levels!$1:$1,0)-1)</f>
        <v>0.3</v>
      </c>
      <c r="BF106" s="32" t="str">
        <f t="shared" si="10"/>
        <v>-</v>
      </c>
      <c r="BG106" s="20" t="e">
        <f ca="1">OFFSET(Tab.Uncertainty.Levels!$A$1,MATCH(BG$88,Tab.Uncertainty.Levels!$A:$A,0)-1,MATCH(BG$87&amp;"_"&amp;BF106,Tab.Uncertainty.Levels!$1:$1,0)-1)</f>
        <v>#N/A</v>
      </c>
      <c r="BH106" s="24" t="e">
        <f ca="1">OFFSET(Tab.Uncertainty.Levels!$A$1,MATCH(BH$88,Tab.Uncertainty.Levels!$A:$A,0)-1,MATCH(BH$87&amp;"_"&amp;BF106,Tab.Uncertainty.Levels!$1:$1,0)-1)</f>
        <v>#N/A</v>
      </c>
      <c r="BI106" s="32" t="str">
        <f t="shared" si="31"/>
        <v>D</v>
      </c>
      <c r="BJ106" s="13">
        <f ca="1">IF(BF106="-",BE106,BH106)</f>
        <v>0.3</v>
      </c>
      <c r="BK106" s="32" t="str">
        <f>IF(OR($L106="NoDataSource",IFERROR(IF($S106="",#N/A,$S106),0)=0),IF(IFERROR(IF(U106="",#N/A,U106),0)=0,"E","D"),IF($L106="DesignDataPlusQA","A",IF($L106="DesignData","B","C")))</f>
        <v>D</v>
      </c>
      <c r="BL106" s="20" t="str">
        <f ca="1">OFFSET(Tab.Uncertainty.Levels!$A$1,MATCH(BL$88,Tab.Uncertainty.Levels!$A:$A,0)-1,MATCH(BL$87&amp;"_"&amp;BK106,Tab.Uncertainty.Levels!$1:$1,0)-1)</f>
        <v>Insulation available; insulation thickness unknown</v>
      </c>
      <c r="BM106" s="24">
        <f ca="1">OFFSET(Tab.Uncertainty.Levels!$A$1,MATCH(BM$88,Tab.Uncertainty.Levels!$A:$A,0)-1,MATCH(BM$87&amp;"_"&amp;BK106,Tab.Uncertainty.Levels!$1:$1,0)-1)</f>
        <v>0.4</v>
      </c>
      <c r="BN106" s="34">
        <f ca="1">OFFSET(Tab.Uncertainty.Levels!$A$1,MATCH(BN$88,Tab.Uncertainty.Levels!$A:$A,0)-1,MATCH(BN$87&amp;"_"&amp;BK106,Tab.Uncertainty.Levels!$1:$1,0)-1)</f>
        <v>5</v>
      </c>
      <c r="BO106" s="13">
        <f ca="1">IFERROR(MIN(BM106,BN106/AN106),0)</f>
        <v>0.4</v>
      </c>
      <c r="BP106" s="32" t="str">
        <f>IF(OR($L106="NoDataSource",IFERROR(IF($V106="",#N/A,$V106),0)=0),IF(IFERROR(IF(U106="",#N/A,U106),0)=0,"E","D"),IF($L106="DesignDataPlusQA","A",IF($L106="DesignData","B","C")))</f>
        <v>D</v>
      </c>
      <c r="BQ106" s="20" t="str">
        <f ca="1">OFFSET(Tab.Uncertainty.Levels!$A$1,MATCH(BQ$88,Tab.Uncertainty.Levels!$A:$A,0)-1,MATCH(BQ$87&amp;"_"&amp;BP106,Tab.Uncertainty.Levels!$1:$1,0)-1)</f>
        <v>Insulation available; no information about material</v>
      </c>
      <c r="BR106" s="97">
        <f ca="1">OFFSET(Tab.Uncertainty.Levels!$A$1,MATCH(BR$88,Tab.Uncertainty.Levels!$A:$A,0)-1,MATCH(BR$87&amp;"_"&amp;BP106,Tab.Uncertainty.Levels!$1:$1,0)-1)</f>
        <v>0.2</v>
      </c>
      <c r="BS106" s="32" t="str">
        <f>IF(L106="NoDataSource","D",IF(IFERROR(IF($T106="",#N/A,$T106),0)=0,IF(OR(IFERROR(IF($S106="",#N/A,$S106),0)&gt;0,$R106="Refurbish"),"D","E"),IF($L106="DesignDataPlusQA","A",IF($L106="DesignData","B","C"))))</f>
        <v>D</v>
      </c>
      <c r="BT106" s="20" t="str">
        <f ca="1">OFFSET(Tab.Uncertainty.Levels!$A$1,MATCH(BT$88,Tab.Uncertainty.Levels!$A:$A,0)-1,MATCH(BT$87&amp;"_"&amp;BS106,Tab.Uncertainty.Levels!$1:$1,0)-1)</f>
        <v>Insulation has been applied, but no information about insulation fraction (default fraction value is the average insulation fraction for all insulated buildings)</v>
      </c>
      <c r="BU106" s="33">
        <f ca="1">OFFSET(Tab.Uncertainty.Levels!$A$1,MATCH(BU$88,Tab.Uncertainty.Levels!$A:$A,0)-1,MATCH(BU$87&amp;"_"&amp;BS106,Tab.Uncertainty.Levels!$1:$1,0)-1)</f>
        <v>0.3</v>
      </c>
      <c r="BV106" s="13">
        <f ca="1">IFERROR(MIN(BU106/AW106,1,(1-AW106)/AW106),0)</f>
        <v>0.33333333333333331</v>
      </c>
      <c r="BW106" s="96">
        <f ca="1">ABS(1+(AW106*(1/(1+AN106/100/AP106*AG106)^2-1)))*BJ106*$AG106</f>
        <v>0.12144402379664679</v>
      </c>
      <c r="BX106" s="96">
        <f ca="1">ABS(-AG106+1/(1/AG106+AN106/100/AP106))*BV106*AW106</f>
        <v>0.31395348837209303</v>
      </c>
      <c r="BY106" s="96">
        <f ca="1">ABS(-AW106*AP106/((AP106/AG106+AN106/100)^2))*(BO106*AN106/100)</f>
        <v>6.1330448891292598E-2</v>
      </c>
      <c r="BZ106" s="202">
        <f ca="1">ABS(AW106*AN106/100/(1/AG106*AP106+AN106/100)^2)*(BR106*AP106)</f>
        <v>3.0665224445646299E-2</v>
      </c>
      <c r="CA106" s="103">
        <f t="shared" ca="1" si="32"/>
        <v>0.34353634993758048</v>
      </c>
      <c r="CB106" s="37">
        <f t="shared" ca="1" si="11"/>
        <v>0.2175872093023255</v>
      </c>
      <c r="CC106" s="37">
        <f t="shared" ca="1" si="12"/>
        <v>0.5625</v>
      </c>
      <c r="CD106" s="37">
        <f t="shared" ca="1" si="13"/>
        <v>0.10988372093023258</v>
      </c>
      <c r="CE106" s="37">
        <f t="shared" ca="1" si="14"/>
        <v>5.4941860465116288E-2</v>
      </c>
      <c r="CF106" s="13">
        <f t="shared" ca="1" si="15"/>
        <v>0.61550262697149838</v>
      </c>
      <c r="CG106" s="101">
        <f ca="1">AG106</f>
        <v>1.5</v>
      </c>
      <c r="CH106" s="101">
        <f ca="1">AW106</f>
        <v>0.75</v>
      </c>
      <c r="CI106" s="203">
        <f ca="1">IF(CH106&gt;0,AN106,0)</f>
        <v>12</v>
      </c>
      <c r="CJ106" s="102">
        <f ca="1">IF(AND(CH106&gt;0,CI106&gt;0),AP106,0)</f>
        <v>3.5000000000000003E-2</v>
      </c>
      <c r="CK106" s="102">
        <f ca="1">BB106</f>
        <v>0.55813953488372092</v>
      </c>
      <c r="CL106" s="37">
        <f t="shared" ca="1" si="16"/>
        <v>0.3</v>
      </c>
      <c r="CM106" s="37">
        <f t="shared" ca="1" si="17"/>
        <v>0.33333333333333331</v>
      </c>
      <c r="CN106" s="37">
        <f t="shared" ca="1" si="18"/>
        <v>0.4</v>
      </c>
      <c r="CO106" s="37">
        <f t="shared" ca="1" si="19"/>
        <v>0.2</v>
      </c>
      <c r="CP106" s="37">
        <f t="shared" ca="1" si="20"/>
        <v>0.61550262697149838</v>
      </c>
      <c r="CQ106" s="95">
        <f t="shared" ca="1" si="21"/>
        <v>0.44999999999999996</v>
      </c>
      <c r="CR106" s="95">
        <f t="shared" ca="1" si="22"/>
        <v>0.25</v>
      </c>
      <c r="CS106" s="95">
        <f t="shared" ca="1" si="23"/>
        <v>4.8000000000000007</v>
      </c>
      <c r="CT106" s="103">
        <f t="shared" ca="1" si="24"/>
        <v>7.000000000000001E-3</v>
      </c>
      <c r="CU106" s="95">
        <f t="shared" ca="1" si="25"/>
        <v>0.34353634993758048</v>
      </c>
      <c r="CV106" s="37">
        <f ca="1">$CB106^2/$CF106^2</f>
        <v>0.12497032594037276</v>
      </c>
      <c r="CW106" s="37">
        <f ca="1">$CD106^2/$CF106^2</f>
        <v>3.1871822115242268E-2</v>
      </c>
      <c r="CX106" s="37">
        <f ca="1">$CE106^2/$CF106^2</f>
        <v>7.967955528810567E-3</v>
      </c>
      <c r="CY106" s="37">
        <f ca="1">$CC106^2/$CF106^2</f>
        <v>0.83518989641557451</v>
      </c>
      <c r="DA106" s="98" t="s">
        <v>456</v>
      </c>
      <c r="DB106" s="35">
        <f ca="1">OFFSET($A$1,ROW(DB106)-1,MATCH(DA106,$1:$1,0)-1)</f>
        <v>0.75</v>
      </c>
      <c r="DC106" s="9">
        <f ca="1">BB106</f>
        <v>0.55813953488372092</v>
      </c>
      <c r="DD106" s="9">
        <f ca="1">$DC106+$CA106</f>
        <v>0.90167588482130134</v>
      </c>
      <c r="DE106" s="9">
        <f ca="1">$DC106-$CA106</f>
        <v>0.21460318494614045</v>
      </c>
      <c r="DF106" s="10">
        <f t="shared" ca="1" si="26"/>
        <v>0.61550262697149827</v>
      </c>
    </row>
    <row r="107" spans="1:110" s="8" customFormat="1" ht="32.4" customHeight="1">
      <c r="A107" s="206" t="s">
        <v>553</v>
      </c>
      <c r="B107" s="208" t="s">
        <v>2340</v>
      </c>
      <c r="C107" s="206" t="s">
        <v>86</v>
      </c>
      <c r="D107" s="206"/>
      <c r="E107" s="206"/>
      <c r="F107" s="206"/>
      <c r="G107" s="206" t="s">
        <v>2170</v>
      </c>
      <c r="H107" s="206" t="s">
        <v>2171</v>
      </c>
      <c r="I107" s="156" t="s">
        <v>80</v>
      </c>
      <c r="J107" s="156" t="s">
        <v>134</v>
      </c>
      <c r="K107" s="156" t="s">
        <v>155</v>
      </c>
      <c r="L107" s="156" t="s">
        <v>66</v>
      </c>
      <c r="M107" s="156" t="s">
        <v>188</v>
      </c>
      <c r="N107" s="7">
        <v>1925</v>
      </c>
      <c r="O107" s="156">
        <v>1</v>
      </c>
      <c r="P107" s="156">
        <v>0</v>
      </c>
      <c r="Q107" s="156" t="s">
        <v>435</v>
      </c>
      <c r="R107" s="156" t="s">
        <v>58</v>
      </c>
      <c r="S107" s="19">
        <v>15</v>
      </c>
      <c r="T107" s="19">
        <v>0.75</v>
      </c>
      <c r="U107" s="19">
        <v>2016</v>
      </c>
      <c r="V107" s="19" t="e">
        <v>#N/A</v>
      </c>
      <c r="W107" s="28" t="s">
        <v>59</v>
      </c>
      <c r="X107" s="19" t="e">
        <v>#N/A</v>
      </c>
      <c r="Y107" s="105">
        <f ca="1">IFERROR(OFFSET(Tab.Const.ConstrBorder!$A$1,MATCH(Q107,Tab.Const.ConstrBorder!$A:$A,0)-1,MATCH(Y$87,Tab.Const.ConstrBorder!$1:$1,0)-1),0)</f>
        <v>0</v>
      </c>
      <c r="Z107" s="18">
        <f t="shared" si="27"/>
        <v>1925</v>
      </c>
      <c r="AA107" s="17">
        <f>MATCH(Z107,Tab.Year.Period!$11:$11,1)-3</f>
        <v>3</v>
      </c>
      <c r="AB107" s="17">
        <f>MATCH(AB$88&amp;"."&amp;TEXT(AA107,"00"),Tab.U.Default!$A:$A,0)</f>
        <v>26</v>
      </c>
      <c r="AC107" s="105">
        <f ca="1">OFFSET(Tab.U.Default!$A$1,$AB107-1,MATCH("U_Class_"&amp;IF($J107="TopCeiling","UpperCeiling",$J107)&amp;"_"&amp;AC$87,Tab.U.Default!$1:$1,0)-1)</f>
        <v>1.5</v>
      </c>
      <c r="AD107" s="105">
        <f ca="1">OFFSET(Tab.U.Default!$A$1,$AB107-1,MATCH("U_Class_"&amp;IF($J107="TopCeiling","UpperCeiling",$J107)&amp;"_"&amp;AD$87,Tab.U.Default!$1:$1,0)-1)</f>
        <v>1.5</v>
      </c>
      <c r="AE107" s="105">
        <f ca="1">OFFSET(Tab.U.Default!$A$1,$AB107-1,MATCH("U_Class_"&amp;IF($J107="TopCeiling","UpperCeiling",$J107)&amp;"_"&amp;AE$87,Tab.U.Default!$1:$1,0)-1)</f>
        <v>1.5</v>
      </c>
      <c r="AF107" s="26">
        <f t="shared" ca="1" si="0"/>
        <v>1.5</v>
      </c>
      <c r="AG107" s="26">
        <f t="shared" ca="1" si="1"/>
        <v>1.5</v>
      </c>
      <c r="AH107" s="18" t="str">
        <f t="shared" si="2"/>
        <v>Refurbish</v>
      </c>
      <c r="AI107" s="18" t="str">
        <f t="shared" si="28"/>
        <v>Add</v>
      </c>
      <c r="AJ107" s="18">
        <f t="shared" si="3"/>
        <v>2016</v>
      </c>
      <c r="AK107" s="17">
        <f>MATCH(AJ107,Tab.Year.Period!$11:$11,1)-3</f>
        <v>12</v>
      </c>
      <c r="AL107" s="17">
        <f>MATCH(AL$88&amp;"."&amp;TEXT(AK107,"00"),Tab.Insulation.Default!$A:$A,0)</f>
        <v>23</v>
      </c>
      <c r="AM107" s="20" t="e">
        <f ca="1">IF(ISNA(IF(S107="",#N/A,S107)),OFFSET(Tab.Insulation.Default!$A$1,$AL107-1,MATCH(AM$87&amp;"_"&amp;$K107,Tab.Insulation.Default!$1:$1,0)-1),#N/A)</f>
        <v>#N/A</v>
      </c>
      <c r="AN107" s="27">
        <f t="shared" si="29"/>
        <v>15</v>
      </c>
      <c r="AO107" s="22">
        <f ca="1">IF(ISNA(IF(V107="",#N/A,V107)),OFFSET(Tab.Insulation.Default!$A$1,$AL107-1,MATCH(AO$87&amp;"_"&amp;$K107,Tab.Insulation.Default!$1:$1,0)-1),#N/A)</f>
        <v>3.5000000000000003E-2</v>
      </c>
      <c r="AP107" s="23">
        <f t="shared" ca="1" si="30"/>
        <v>3.5000000000000003E-2</v>
      </c>
      <c r="AQ107" s="29" t="str">
        <f t="shared" si="4"/>
        <v>Gen.Refurbished.12</v>
      </c>
      <c r="AR107" s="17">
        <f>MATCH(AR$88&amp;"."&amp;AQ107,Tab.Measure.f.Default!$A:$A,0)</f>
        <v>23</v>
      </c>
      <c r="AS107" s="21">
        <f ca="1">OFFSET(Tab.Measure.f.Default!$A$1,AR107-1,MATCH(AS$87&amp;"_"&amp;$J107,Tab.Measure.f.Default!$1:$1,0)-1)</f>
        <v>0.75</v>
      </c>
      <c r="AT107" s="29" t="str">
        <f t="shared" si="5"/>
        <v>MUH.NA.03</v>
      </c>
      <c r="AU107" s="17">
        <f>MATCH(AU$88&amp;"."&amp;AT107,Tab.Measure.f.Default!$A:$A,0)</f>
        <v>38</v>
      </c>
      <c r="AV107" s="21">
        <f ca="1">OFFSET(Tab.Measure.f.Default!$A$1,AU107-1,MATCH(AV$87&amp;"_"&amp;$J107,Tab.Measure.f.Default!$1:$1,0)-1)</f>
        <v>0.37</v>
      </c>
      <c r="AW107" s="30">
        <f t="shared" si="33"/>
        <v>0.75</v>
      </c>
      <c r="AX107" s="9">
        <f t="shared" ca="1" si="6"/>
        <v>0.66666666666666663</v>
      </c>
      <c r="AY107" s="9">
        <f t="shared" ca="1" si="7"/>
        <v>4.2857142857142856</v>
      </c>
      <c r="AZ107" s="9">
        <f t="shared" ca="1" si="34"/>
        <v>4.9523809523809526</v>
      </c>
      <c r="BA107" s="9">
        <f t="shared" ca="1" si="35"/>
        <v>0.20192307692307693</v>
      </c>
      <c r="BB107" s="9">
        <f t="shared" ca="1" si="8"/>
        <v>0.52644230769230771</v>
      </c>
      <c r="BC107" s="32" t="str">
        <f t="shared" si="9"/>
        <v>D</v>
      </c>
      <c r="BD107" s="20" t="str">
        <f ca="1">OFFSET(Tab.Uncertainty.Levels!$A$1,MATCH(BD$88,Tab.Uncertainty.Levels!$A:$A,0)-1,MATCH(BD$87&amp;"_"&amp;BC107,Tab.Uncertainty.Levels!$1:$1,0)-1)</f>
        <v>Use of default values; building constructed until 1983</v>
      </c>
      <c r="BE107" s="24">
        <f ca="1">OFFSET(Tab.Uncertainty.Levels!$A$1,MATCH(BE$88,Tab.Uncertainty.Levels!$A:$A,0)-1,MATCH(BE$87&amp;"_"&amp;BC107,Tab.Uncertainty.Levels!$1:$1,0)-1)</f>
        <v>0.3</v>
      </c>
      <c r="BF107" s="32" t="str">
        <f t="shared" si="10"/>
        <v>-</v>
      </c>
      <c r="BG107" s="20" t="e">
        <f ca="1">OFFSET(Tab.Uncertainty.Levels!$A$1,MATCH(BG$88,Tab.Uncertainty.Levels!$A:$A,0)-1,MATCH(BG$87&amp;"_"&amp;BF107,Tab.Uncertainty.Levels!$1:$1,0)-1)</f>
        <v>#N/A</v>
      </c>
      <c r="BH107" s="24" t="e">
        <f ca="1">OFFSET(Tab.Uncertainty.Levels!$A$1,MATCH(BH$88,Tab.Uncertainty.Levels!$A:$A,0)-1,MATCH(BH$87&amp;"_"&amp;BF107,Tab.Uncertainty.Levels!$1:$1,0)-1)</f>
        <v>#N/A</v>
      </c>
      <c r="BI107" s="32" t="str">
        <f t="shared" si="31"/>
        <v>D</v>
      </c>
      <c r="BJ107" s="13">
        <f ca="1">IF(BF107="-",BE107,BH107)</f>
        <v>0.3</v>
      </c>
      <c r="BK107" s="32" t="str">
        <f>IF(OR($L107="NoDataSource",IFERROR(IF($S107="",#N/A,$S107),0)=0),IF(IFERROR(IF(U107="",#N/A,U107),0)=0,"E","D"),IF($L107="DesignDataPlusQA","A",IF($L107="DesignData","B","C")))</f>
        <v>C</v>
      </c>
      <c r="BL107" s="20" t="str">
        <f ca="1">OFFSET(Tab.Uncertainty.Levels!$A$1,MATCH(BL$88,Tab.Uncertainty.Levels!$A:$A,0)-1,MATCH(BL$87&amp;"_"&amp;BK107,Tab.Uncertainty.Levels!$1:$1,0)-1)</f>
        <v>Insulation thickness determined by inspection onsite / record or statement of owner</v>
      </c>
      <c r="BM107" s="24">
        <f ca="1">OFFSET(Tab.Uncertainty.Levels!$A$1,MATCH(BM$88,Tab.Uncertainty.Levels!$A:$A,0)-1,MATCH(BM$87&amp;"_"&amp;BK107,Tab.Uncertainty.Levels!$1:$1,0)-1)</f>
        <v>0.25</v>
      </c>
      <c r="BN107" s="34">
        <f ca="1">OFFSET(Tab.Uncertainty.Levels!$A$1,MATCH(BN$88,Tab.Uncertainty.Levels!$A:$A,0)-1,MATCH(BN$87&amp;"_"&amp;BK107,Tab.Uncertainty.Levels!$1:$1,0)-1)</f>
        <v>2</v>
      </c>
      <c r="BO107" s="13">
        <f ca="1">IFERROR(MIN(BM107,BN107/AN107),0)</f>
        <v>0.13333333333333333</v>
      </c>
      <c r="BP107" s="32" t="str">
        <f>IF(OR($L107="NoDataSource",IFERROR(IF($V107="",#N/A,$V107),0)=0),IF(IFERROR(IF(U107="",#N/A,U107),0)=0,"E","D"),IF($L107="DesignDataPlusQA","A",IF($L107="DesignData","B","C")))</f>
        <v>D</v>
      </c>
      <c r="BQ107" s="20" t="str">
        <f ca="1">OFFSET(Tab.Uncertainty.Levels!$A$1,MATCH(BQ$88,Tab.Uncertainty.Levels!$A:$A,0)-1,MATCH(BQ$87&amp;"_"&amp;BP107,Tab.Uncertainty.Levels!$1:$1,0)-1)</f>
        <v>Insulation available; no information about material</v>
      </c>
      <c r="BR107" s="97">
        <f ca="1">OFFSET(Tab.Uncertainty.Levels!$A$1,MATCH(BR$88,Tab.Uncertainty.Levels!$A:$A,0)-1,MATCH(BR$87&amp;"_"&amp;BP107,Tab.Uncertainty.Levels!$1:$1,0)-1)</f>
        <v>0.2</v>
      </c>
      <c r="BS107" s="32" t="str">
        <f>IF(L107="NoDataSource","D",IF(IFERROR(IF($T107="",#N/A,$T107),0)=0,IF(OR(IFERROR(IF($S107="",#N/A,$S107),0)&gt;0,$R107="Refurbish"),"D","E"),IF($L107="DesignDataPlusQA","A",IF($L107="DesignData","B","C"))))</f>
        <v>C</v>
      </c>
      <c r="BT107" s="20" t="str">
        <f ca="1">OFFSET(Tab.Uncertainty.Levels!$A$1,MATCH(BT$88,Tab.Uncertainty.Levels!$A:$A,0)-1,MATCH(BT$87&amp;"_"&amp;BS107,Tab.Uncertainty.Levels!$1:$1,0)-1)</f>
        <v>Insulation fraction determined by inspection onsite / record or statement of owner</v>
      </c>
      <c r="BU107" s="33">
        <f ca="1">OFFSET(Tab.Uncertainty.Levels!$A$1,MATCH(BU$88,Tab.Uncertainty.Levels!$A:$A,0)-1,MATCH(BU$87&amp;"_"&amp;BS107,Tab.Uncertainty.Levels!$1:$1,0)-1)</f>
        <v>0.2</v>
      </c>
      <c r="BV107" s="13">
        <f ca="1">IFERROR(MIN(BU107/AW107,1,(1-AW107)/AW107),0)</f>
        <v>0.26666666666666666</v>
      </c>
      <c r="BW107" s="96">
        <f ca="1">ABS(1+(AW107*(1/(1+AN107/100/AP107*AG107)^2-1)))*BJ107*$AG107</f>
        <v>0.11861593934911244</v>
      </c>
      <c r="BX107" s="96">
        <f ca="1">ABS(-AG107+1/(1/AG107+AN107/100/AP107))*BV107*AW107</f>
        <v>0.25961538461538458</v>
      </c>
      <c r="BY107" s="96">
        <f ca="1">ABS(-AW107*AP107/((AP107/AG107+AN107/100)^2))*(BO107*AN107/100)</f>
        <v>1.7474112426035505E-2</v>
      </c>
      <c r="BZ107" s="202">
        <f ca="1">ABS(AW107*AN107/100/(1/AG107*AP107+AN107/100)^2)*(BR107*AP107)</f>
        <v>2.6211168639053258E-2</v>
      </c>
      <c r="CA107" s="103">
        <f t="shared" ca="1" si="32"/>
        <v>0.28716242609918347</v>
      </c>
      <c r="CB107" s="37">
        <f t="shared" ca="1" si="11"/>
        <v>0.22531612223393047</v>
      </c>
      <c r="CC107" s="37">
        <f t="shared" ca="1" si="12"/>
        <v>0.49315068493150677</v>
      </c>
      <c r="CD107" s="37">
        <f t="shared" ca="1" si="13"/>
        <v>3.319283456269758E-2</v>
      </c>
      <c r="CE107" s="37">
        <f t="shared" ca="1" si="14"/>
        <v>4.9789251844046367E-2</v>
      </c>
      <c r="CF107" s="13">
        <f t="shared" ca="1" si="15"/>
        <v>0.54547748519296946</v>
      </c>
      <c r="CG107" s="101">
        <f ca="1">AG107</f>
        <v>1.5</v>
      </c>
      <c r="CH107" s="101">
        <f>AW107</f>
        <v>0.75</v>
      </c>
      <c r="CI107" s="203">
        <f>IF(CH107&gt;0,AN107,0)</f>
        <v>15</v>
      </c>
      <c r="CJ107" s="102">
        <f ca="1">IF(AND(CH107&gt;0,CI107&gt;0),AP107,0)</f>
        <v>3.5000000000000003E-2</v>
      </c>
      <c r="CK107" s="102">
        <f ca="1">BB107</f>
        <v>0.52644230769230771</v>
      </c>
      <c r="CL107" s="37">
        <f t="shared" ca="1" si="16"/>
        <v>0.3</v>
      </c>
      <c r="CM107" s="37">
        <f t="shared" ca="1" si="17"/>
        <v>0.26666666666666666</v>
      </c>
      <c r="CN107" s="37">
        <f t="shared" ca="1" si="18"/>
        <v>0.13333333333333333</v>
      </c>
      <c r="CO107" s="37">
        <f t="shared" ca="1" si="19"/>
        <v>0.2</v>
      </c>
      <c r="CP107" s="37">
        <f t="shared" ca="1" si="20"/>
        <v>0.54547748519296946</v>
      </c>
      <c r="CQ107" s="95">
        <f t="shared" ca="1" si="21"/>
        <v>0.44999999999999996</v>
      </c>
      <c r="CR107" s="95">
        <f t="shared" ca="1" si="22"/>
        <v>0.2</v>
      </c>
      <c r="CS107" s="95">
        <f t="shared" ca="1" si="23"/>
        <v>2</v>
      </c>
      <c r="CT107" s="103">
        <f t="shared" ca="1" si="24"/>
        <v>7.000000000000001E-3</v>
      </c>
      <c r="CU107" s="95">
        <f t="shared" ca="1" si="25"/>
        <v>0.28716242609918347</v>
      </c>
      <c r="CV107" s="37">
        <f ca="1">$CB107^2/$CF107^2</f>
        <v>0.17062036917951084</v>
      </c>
      <c r="CW107" s="37">
        <f ca="1">$CD107^2/$CF107^2</f>
        <v>3.7028406560400905E-3</v>
      </c>
      <c r="CX107" s="37">
        <f ca="1">$CE107^2/$CF107^2</f>
        <v>8.3313914760902007E-3</v>
      </c>
      <c r="CY107" s="37">
        <f ca="1">$CC107^2/$CF107^2</f>
        <v>0.81734539868835898</v>
      </c>
      <c r="DA107" s="98" t="s">
        <v>456</v>
      </c>
      <c r="DB107" s="35">
        <f ca="1">OFFSET($A$1,ROW(DB107)-1,MATCH(DA107,$1:$1,0)-1)</f>
        <v>0.75</v>
      </c>
      <c r="DC107" s="9">
        <f ca="1">BB107</f>
        <v>0.52644230769230771</v>
      </c>
      <c r="DD107" s="9">
        <f ca="1">$DC107+$CA107</f>
        <v>0.81360473379149112</v>
      </c>
      <c r="DE107" s="9">
        <f ca="1">$DC107-$CA107</f>
        <v>0.23927988159312424</v>
      </c>
      <c r="DF107" s="10">
        <f t="shared" ca="1" si="26"/>
        <v>0.54547748519296935</v>
      </c>
    </row>
    <row r="108" spans="1:110" s="8" customFormat="1" ht="32.4" customHeight="1">
      <c r="A108" s="206" t="s">
        <v>554</v>
      </c>
      <c r="B108" s="208" t="s">
        <v>2340</v>
      </c>
      <c r="C108" s="206" t="s">
        <v>85</v>
      </c>
      <c r="D108" s="206"/>
      <c r="E108" s="206"/>
      <c r="F108" s="206"/>
      <c r="G108" s="206" t="s">
        <v>2170</v>
      </c>
      <c r="H108" s="206" t="s">
        <v>2171</v>
      </c>
      <c r="I108" s="156" t="s">
        <v>80</v>
      </c>
      <c r="J108" s="156" t="s">
        <v>134</v>
      </c>
      <c r="K108" s="156" t="s">
        <v>155</v>
      </c>
      <c r="L108" s="156" t="s">
        <v>66</v>
      </c>
      <c r="M108" s="156" t="s">
        <v>188</v>
      </c>
      <c r="N108" s="7">
        <v>1925</v>
      </c>
      <c r="O108" s="156">
        <v>1</v>
      </c>
      <c r="P108" s="156">
        <v>0</v>
      </c>
      <c r="Q108" s="156" t="s">
        <v>435</v>
      </c>
      <c r="R108" s="156" t="s">
        <v>58</v>
      </c>
      <c r="S108" s="19">
        <v>15</v>
      </c>
      <c r="T108" s="19">
        <v>1</v>
      </c>
      <c r="U108" s="19">
        <v>2016</v>
      </c>
      <c r="V108" s="19" t="e">
        <v>#N/A</v>
      </c>
      <c r="W108" s="28" t="s">
        <v>59</v>
      </c>
      <c r="X108" s="19" t="e">
        <v>#N/A</v>
      </c>
      <c r="Y108" s="105">
        <f ca="1">IFERROR(OFFSET(Tab.Const.ConstrBorder!$A$1,MATCH(Q108,Tab.Const.ConstrBorder!$A:$A,0)-1,MATCH(Y$87,Tab.Const.ConstrBorder!$1:$1,0)-1),0)</f>
        <v>0</v>
      </c>
      <c r="Z108" s="18">
        <f t="shared" si="27"/>
        <v>1925</v>
      </c>
      <c r="AA108" s="17">
        <f>MATCH(Z108,Tab.Year.Period!$11:$11,1)-3</f>
        <v>3</v>
      </c>
      <c r="AB108" s="17">
        <f>MATCH(AB$88&amp;"."&amp;TEXT(AA108,"00"),Tab.U.Default!$A:$A,0)</f>
        <v>26</v>
      </c>
      <c r="AC108" s="105">
        <f ca="1">OFFSET(Tab.U.Default!$A$1,$AB108-1,MATCH("U_Class_"&amp;IF($J108="TopCeiling","UpperCeiling",$J108)&amp;"_"&amp;AC$87,Tab.U.Default!$1:$1,0)-1)</f>
        <v>1.5</v>
      </c>
      <c r="AD108" s="105">
        <f ca="1">OFFSET(Tab.U.Default!$A$1,$AB108-1,MATCH("U_Class_"&amp;IF($J108="TopCeiling","UpperCeiling",$J108)&amp;"_"&amp;AD$87,Tab.U.Default!$1:$1,0)-1)</f>
        <v>1.5</v>
      </c>
      <c r="AE108" s="105">
        <f ca="1">OFFSET(Tab.U.Default!$A$1,$AB108-1,MATCH("U_Class_"&amp;IF($J108="TopCeiling","UpperCeiling",$J108)&amp;"_"&amp;AE$87,Tab.U.Default!$1:$1,0)-1)</f>
        <v>1.5</v>
      </c>
      <c r="AF108" s="26">
        <f t="shared" ca="1" si="0"/>
        <v>1.5</v>
      </c>
      <c r="AG108" s="26">
        <f t="shared" ca="1" si="1"/>
        <v>1.5</v>
      </c>
      <c r="AH108" s="18" t="str">
        <f t="shared" si="2"/>
        <v>Refurbish</v>
      </c>
      <c r="AI108" s="18" t="str">
        <f t="shared" si="28"/>
        <v>Add</v>
      </c>
      <c r="AJ108" s="18">
        <f t="shared" si="3"/>
        <v>2016</v>
      </c>
      <c r="AK108" s="17">
        <f>MATCH(AJ108,Tab.Year.Period!$11:$11,1)-3</f>
        <v>12</v>
      </c>
      <c r="AL108" s="17">
        <f>MATCH(AL$88&amp;"."&amp;TEXT(AK108,"00"),Tab.Insulation.Default!$A:$A,0)</f>
        <v>23</v>
      </c>
      <c r="AM108" s="20" t="e">
        <f ca="1">IF(ISNA(IF(S108="",#N/A,S108)),OFFSET(Tab.Insulation.Default!$A$1,$AL108-1,MATCH(AM$87&amp;"_"&amp;$K108,Tab.Insulation.Default!$1:$1,0)-1),#N/A)</f>
        <v>#N/A</v>
      </c>
      <c r="AN108" s="27">
        <f t="shared" si="29"/>
        <v>15</v>
      </c>
      <c r="AO108" s="22">
        <f ca="1">IF(ISNA(IF(V108="",#N/A,V108)),OFFSET(Tab.Insulation.Default!$A$1,$AL108-1,MATCH(AO$87&amp;"_"&amp;$K108,Tab.Insulation.Default!$1:$1,0)-1),#N/A)</f>
        <v>3.5000000000000003E-2</v>
      </c>
      <c r="AP108" s="23">
        <f t="shared" ca="1" si="30"/>
        <v>3.5000000000000003E-2</v>
      </c>
      <c r="AQ108" s="29" t="str">
        <f t="shared" si="4"/>
        <v>Gen.Refurbished.12</v>
      </c>
      <c r="AR108" s="17">
        <f>MATCH(AR$88&amp;"."&amp;AQ108,Tab.Measure.f.Default!$A:$A,0)</f>
        <v>23</v>
      </c>
      <c r="AS108" s="21">
        <f ca="1">OFFSET(Tab.Measure.f.Default!$A$1,AR108-1,MATCH(AS$87&amp;"_"&amp;$J108,Tab.Measure.f.Default!$1:$1,0)-1)</f>
        <v>0.75</v>
      </c>
      <c r="AT108" s="29" t="str">
        <f t="shared" si="5"/>
        <v>MUH.NA.03</v>
      </c>
      <c r="AU108" s="17">
        <f>MATCH(AU$88&amp;"."&amp;AT108,Tab.Measure.f.Default!$A:$A,0)</f>
        <v>38</v>
      </c>
      <c r="AV108" s="21">
        <f ca="1">OFFSET(Tab.Measure.f.Default!$A$1,AU108-1,MATCH(AV$87&amp;"_"&amp;$J108,Tab.Measure.f.Default!$1:$1,0)-1)</f>
        <v>0.37</v>
      </c>
      <c r="AW108" s="30">
        <f t="shared" si="33"/>
        <v>1</v>
      </c>
      <c r="AX108" s="9">
        <f t="shared" ca="1" si="6"/>
        <v>0.66666666666666663</v>
      </c>
      <c r="AY108" s="9">
        <f t="shared" ca="1" si="7"/>
        <v>4.2857142857142856</v>
      </c>
      <c r="AZ108" s="9">
        <f t="shared" ca="1" si="34"/>
        <v>4.9523809523809526</v>
      </c>
      <c r="BA108" s="9">
        <f t="shared" ca="1" si="35"/>
        <v>0.20192307692307693</v>
      </c>
      <c r="BB108" s="9">
        <f t="shared" ca="1" si="8"/>
        <v>0.20192307692307693</v>
      </c>
      <c r="BC108" s="32" t="str">
        <f t="shared" si="9"/>
        <v>D</v>
      </c>
      <c r="BD108" s="20" t="str">
        <f ca="1">OFFSET(Tab.Uncertainty.Levels!$A$1,MATCH(BD$88,Tab.Uncertainty.Levels!$A:$A,0)-1,MATCH(BD$87&amp;"_"&amp;BC108,Tab.Uncertainty.Levels!$1:$1,0)-1)</f>
        <v>Use of default values; building constructed until 1983</v>
      </c>
      <c r="BE108" s="24">
        <f ca="1">OFFSET(Tab.Uncertainty.Levels!$A$1,MATCH(BE$88,Tab.Uncertainty.Levels!$A:$A,0)-1,MATCH(BE$87&amp;"_"&amp;BC108,Tab.Uncertainty.Levels!$1:$1,0)-1)</f>
        <v>0.3</v>
      </c>
      <c r="BF108" s="32" t="str">
        <f t="shared" si="10"/>
        <v>-</v>
      </c>
      <c r="BG108" s="20" t="e">
        <f ca="1">OFFSET(Tab.Uncertainty.Levels!$A$1,MATCH(BG$88,Tab.Uncertainty.Levels!$A:$A,0)-1,MATCH(BG$87&amp;"_"&amp;BF108,Tab.Uncertainty.Levels!$1:$1,0)-1)</f>
        <v>#N/A</v>
      </c>
      <c r="BH108" s="24" t="e">
        <f ca="1">OFFSET(Tab.Uncertainty.Levels!$A$1,MATCH(BH$88,Tab.Uncertainty.Levels!$A:$A,0)-1,MATCH(BH$87&amp;"_"&amp;BF108,Tab.Uncertainty.Levels!$1:$1,0)-1)</f>
        <v>#N/A</v>
      </c>
      <c r="BI108" s="32" t="str">
        <f t="shared" si="31"/>
        <v>D</v>
      </c>
      <c r="BJ108" s="13">
        <f ca="1">IF(BF108="-",BE108,BH108)</f>
        <v>0.3</v>
      </c>
      <c r="BK108" s="32" t="str">
        <f>IF(OR($L108="NoDataSource",IFERROR(IF($S108="",#N/A,$S108),0)=0),IF(IFERROR(IF(U108="",#N/A,U108),0)=0,"E","D"),IF($L108="DesignDataPlusQA","A",IF($L108="DesignData","B","C")))</f>
        <v>C</v>
      </c>
      <c r="BL108" s="20" t="str">
        <f ca="1">OFFSET(Tab.Uncertainty.Levels!$A$1,MATCH(BL$88,Tab.Uncertainty.Levels!$A:$A,0)-1,MATCH(BL$87&amp;"_"&amp;BK108,Tab.Uncertainty.Levels!$1:$1,0)-1)</f>
        <v>Insulation thickness determined by inspection onsite / record or statement of owner</v>
      </c>
      <c r="BM108" s="24">
        <f ca="1">OFFSET(Tab.Uncertainty.Levels!$A$1,MATCH(BM$88,Tab.Uncertainty.Levels!$A:$A,0)-1,MATCH(BM$87&amp;"_"&amp;BK108,Tab.Uncertainty.Levels!$1:$1,0)-1)</f>
        <v>0.25</v>
      </c>
      <c r="BN108" s="34">
        <f ca="1">OFFSET(Tab.Uncertainty.Levels!$A$1,MATCH(BN$88,Tab.Uncertainty.Levels!$A:$A,0)-1,MATCH(BN$87&amp;"_"&amp;BK108,Tab.Uncertainty.Levels!$1:$1,0)-1)</f>
        <v>2</v>
      </c>
      <c r="BO108" s="13">
        <f ca="1">IFERROR(MIN(BM108,BN108/AN108),0)</f>
        <v>0.13333333333333333</v>
      </c>
      <c r="BP108" s="32" t="str">
        <f>IF(OR($L108="NoDataSource",IFERROR(IF($V108="",#N/A,$V108),0)=0),IF(IFERROR(IF(U108="",#N/A,U108),0)=0,"E","D"),IF($L108="DesignDataPlusQA","A",IF($L108="DesignData","B","C")))</f>
        <v>D</v>
      </c>
      <c r="BQ108" s="20" t="str">
        <f ca="1">OFFSET(Tab.Uncertainty.Levels!$A$1,MATCH(BQ$88,Tab.Uncertainty.Levels!$A:$A,0)-1,MATCH(BQ$87&amp;"_"&amp;BP108,Tab.Uncertainty.Levels!$1:$1,0)-1)</f>
        <v>Insulation available; no information about material</v>
      </c>
      <c r="BR108" s="97">
        <f ca="1">OFFSET(Tab.Uncertainty.Levels!$A$1,MATCH(BR$88,Tab.Uncertainty.Levels!$A:$A,0)-1,MATCH(BR$87&amp;"_"&amp;BP108,Tab.Uncertainty.Levels!$1:$1,0)-1)</f>
        <v>0.2</v>
      </c>
      <c r="BS108" s="32" t="str">
        <f>IF(L108="NoDataSource","D",IF(IFERROR(IF($T108="",#N/A,$T108),0)=0,IF(OR(IFERROR(IF($S108="",#N/A,$S108),0)&gt;0,$R108="Refurbish"),"D","E"),IF($L108="DesignDataPlusQA","A",IF($L108="DesignData","B","C"))))</f>
        <v>C</v>
      </c>
      <c r="BT108" s="20" t="str">
        <f ca="1">OFFSET(Tab.Uncertainty.Levels!$A$1,MATCH(BT$88,Tab.Uncertainty.Levels!$A:$A,0)-1,MATCH(BT$87&amp;"_"&amp;BS108,Tab.Uncertainty.Levels!$1:$1,0)-1)</f>
        <v>Insulation fraction determined by inspection onsite / record or statement of owner</v>
      </c>
      <c r="BU108" s="33">
        <f ca="1">OFFSET(Tab.Uncertainty.Levels!$A$1,MATCH(BU$88,Tab.Uncertainty.Levels!$A:$A,0)-1,MATCH(BU$87&amp;"_"&amp;BS108,Tab.Uncertainty.Levels!$1:$1,0)-1)</f>
        <v>0.2</v>
      </c>
      <c r="BV108" s="13">
        <f ca="1">IFERROR(MIN(BU108/AW108,1,(1-AW108)/AW108),0)</f>
        <v>0</v>
      </c>
      <c r="BW108" s="96">
        <f ca="1">ABS(1+(AW108*(1/(1+AN108/100/AP108*AG108)^2-1)))*BJ108*$AG108</f>
        <v>8.1545857988165656E-3</v>
      </c>
      <c r="BX108" s="96">
        <f ca="1">ABS(-AG108+1/(1/AG108+AN108/100/AP108))*BV108*AW108</f>
        <v>0</v>
      </c>
      <c r="BY108" s="96">
        <f ca="1">ABS(-AW108*AP108/((AP108/AG108+AN108/100)^2))*(BO108*AN108/100)</f>
        <v>2.3298816568047335E-2</v>
      </c>
      <c r="BZ108" s="202">
        <f ca="1">ABS(AW108*AN108/100/(1/AG108*AP108+AN108/100)^2)*(BR108*AP108)</f>
        <v>3.4948224852071011E-2</v>
      </c>
      <c r="CA108" s="103">
        <f t="shared" ca="1" si="32"/>
        <v>4.278680337829284E-2</v>
      </c>
      <c r="CB108" s="37">
        <f t="shared" ca="1" si="11"/>
        <v>4.0384615384615373E-2</v>
      </c>
      <c r="CC108" s="37">
        <f t="shared" ca="1" si="12"/>
        <v>0</v>
      </c>
      <c r="CD108" s="37">
        <f t="shared" ca="1" si="13"/>
        <v>0.11538461538461536</v>
      </c>
      <c r="CE108" s="37">
        <f t="shared" ca="1" si="14"/>
        <v>0.1730769230769231</v>
      </c>
      <c r="CF108" s="13">
        <f t="shared" ca="1" si="15"/>
        <v>0.21189655006392644</v>
      </c>
      <c r="CG108" s="101">
        <f ca="1">AG108</f>
        <v>1.5</v>
      </c>
      <c r="CH108" s="101">
        <f>AW108</f>
        <v>1</v>
      </c>
      <c r="CI108" s="203">
        <f>IF(CH108&gt;0,AN108,0)</f>
        <v>15</v>
      </c>
      <c r="CJ108" s="102">
        <f ca="1">IF(AND(CH108&gt;0,CI108&gt;0),AP108,0)</f>
        <v>3.5000000000000003E-2</v>
      </c>
      <c r="CK108" s="102">
        <f ca="1">BB108</f>
        <v>0.20192307692307693</v>
      </c>
      <c r="CL108" s="37">
        <f t="shared" ca="1" si="16"/>
        <v>0.3</v>
      </c>
      <c r="CM108" s="37">
        <f t="shared" ca="1" si="17"/>
        <v>0</v>
      </c>
      <c r="CN108" s="37">
        <f t="shared" ca="1" si="18"/>
        <v>0.13333333333333333</v>
      </c>
      <c r="CO108" s="37">
        <f t="shared" ca="1" si="19"/>
        <v>0.2</v>
      </c>
      <c r="CP108" s="37">
        <f t="shared" ca="1" si="20"/>
        <v>0.21189655006392644</v>
      </c>
      <c r="CQ108" s="95">
        <f t="shared" ca="1" si="21"/>
        <v>0.44999999999999996</v>
      </c>
      <c r="CR108" s="95">
        <f t="shared" ca="1" si="22"/>
        <v>0</v>
      </c>
      <c r="CS108" s="95">
        <f t="shared" ca="1" si="23"/>
        <v>2</v>
      </c>
      <c r="CT108" s="103">
        <f t="shared" ca="1" si="24"/>
        <v>7.000000000000001E-3</v>
      </c>
      <c r="CU108" s="95">
        <f t="shared" ca="1" si="25"/>
        <v>4.278680337829284E-2</v>
      </c>
      <c r="CV108" s="37">
        <f ca="1">$CB108^2/$CF108^2</f>
        <v>3.632320237212748E-2</v>
      </c>
      <c r="CW108" s="37">
        <f ca="1">$CD108^2/$CF108^2</f>
        <v>0.29651593773165297</v>
      </c>
      <c r="CX108" s="37">
        <f ca="1">$CE108^2/$CF108^2</f>
        <v>0.66716085989621954</v>
      </c>
      <c r="CY108" s="37">
        <f ca="1">$CC108^2/$CF108^2</f>
        <v>0</v>
      </c>
      <c r="DA108" s="98" t="s">
        <v>456</v>
      </c>
      <c r="DB108" s="35">
        <f ca="1">OFFSET($A$1,ROW(DB108)-1,MATCH(DA108,$1:$1,0)-1)</f>
        <v>1</v>
      </c>
      <c r="DC108" s="9">
        <f ca="1">BB108</f>
        <v>0.20192307692307693</v>
      </c>
      <c r="DD108" s="9">
        <f ca="1">$DC108+$CA108</f>
        <v>0.24470988030136975</v>
      </c>
      <c r="DE108" s="9">
        <f ca="1">$DC108-$CA108</f>
        <v>0.1591362735447841</v>
      </c>
      <c r="DF108" s="10">
        <f t="shared" ca="1" si="26"/>
        <v>0.21189655006392638</v>
      </c>
    </row>
    <row r="109" spans="1:110" s="8" customFormat="1" ht="32.4" customHeight="1">
      <c r="A109" s="206" t="s">
        <v>555</v>
      </c>
      <c r="B109" s="208" t="s">
        <v>2340</v>
      </c>
      <c r="C109" s="206" t="s">
        <v>54</v>
      </c>
      <c r="D109" s="206"/>
      <c r="E109" s="206"/>
      <c r="F109" s="206"/>
      <c r="G109" s="206" t="s">
        <v>2170</v>
      </c>
      <c r="H109" s="206" t="s">
        <v>2171</v>
      </c>
      <c r="I109" s="156" t="s">
        <v>80</v>
      </c>
      <c r="J109" s="156" t="s">
        <v>134</v>
      </c>
      <c r="K109" s="156" t="s">
        <v>155</v>
      </c>
      <c r="L109" s="156" t="s">
        <v>66</v>
      </c>
      <c r="M109" s="156" t="s">
        <v>188</v>
      </c>
      <c r="N109" s="7">
        <v>1925</v>
      </c>
      <c r="O109" s="156">
        <v>1</v>
      </c>
      <c r="P109" s="156">
        <v>0</v>
      </c>
      <c r="Q109" s="156" t="s">
        <v>435</v>
      </c>
      <c r="R109" s="156" t="s">
        <v>58</v>
      </c>
      <c r="S109" s="19">
        <v>15</v>
      </c>
      <c r="T109" s="19">
        <v>0.75</v>
      </c>
      <c r="U109" s="19">
        <v>2016</v>
      </c>
      <c r="V109" s="19">
        <v>3.5000000000000003E-2</v>
      </c>
      <c r="W109" s="28" t="s">
        <v>59</v>
      </c>
      <c r="X109" s="19" t="e">
        <v>#N/A</v>
      </c>
      <c r="Y109" s="105">
        <f ca="1">IFERROR(OFFSET(Tab.Const.ConstrBorder!$A$1,MATCH(Q109,Tab.Const.ConstrBorder!$A:$A,0)-1,MATCH(Y$87,Tab.Const.ConstrBorder!$1:$1,0)-1),0)</f>
        <v>0</v>
      </c>
      <c r="Z109" s="18">
        <f t="shared" si="27"/>
        <v>1925</v>
      </c>
      <c r="AA109" s="17">
        <f>MATCH(Z109,Tab.Year.Period!$11:$11,1)-3</f>
        <v>3</v>
      </c>
      <c r="AB109" s="17">
        <f>MATCH(AB$88&amp;"."&amp;TEXT(AA109,"00"),Tab.U.Default!$A:$A,0)</f>
        <v>26</v>
      </c>
      <c r="AC109" s="105">
        <f ca="1">OFFSET(Tab.U.Default!$A$1,$AB109-1,MATCH("U_Class_"&amp;IF($J109="TopCeiling","UpperCeiling",$J109)&amp;"_"&amp;AC$87,Tab.U.Default!$1:$1,0)-1)</f>
        <v>1.5</v>
      </c>
      <c r="AD109" s="105">
        <f ca="1">OFFSET(Tab.U.Default!$A$1,$AB109-1,MATCH("U_Class_"&amp;IF($J109="TopCeiling","UpperCeiling",$J109)&amp;"_"&amp;AD$87,Tab.U.Default!$1:$1,0)-1)</f>
        <v>1.5</v>
      </c>
      <c r="AE109" s="105">
        <f ca="1">OFFSET(Tab.U.Default!$A$1,$AB109-1,MATCH("U_Class_"&amp;IF($J109="TopCeiling","UpperCeiling",$J109)&amp;"_"&amp;AE$87,Tab.U.Default!$1:$1,0)-1)</f>
        <v>1.5</v>
      </c>
      <c r="AF109" s="26">
        <f t="shared" ca="1" si="0"/>
        <v>1.5</v>
      </c>
      <c r="AG109" s="26">
        <f t="shared" ca="1" si="1"/>
        <v>1.5</v>
      </c>
      <c r="AH109" s="18" t="str">
        <f t="shared" si="2"/>
        <v>Refurbish</v>
      </c>
      <c r="AI109" s="18" t="str">
        <f t="shared" si="28"/>
        <v>Add</v>
      </c>
      <c r="AJ109" s="18">
        <f t="shared" si="3"/>
        <v>2016</v>
      </c>
      <c r="AK109" s="17">
        <f>MATCH(AJ109,Tab.Year.Period!$11:$11,1)-3</f>
        <v>12</v>
      </c>
      <c r="AL109" s="17">
        <f>MATCH(AL$88&amp;"."&amp;TEXT(AK109,"00"),Tab.Insulation.Default!$A:$A,0)</f>
        <v>23</v>
      </c>
      <c r="AM109" s="20" t="e">
        <f ca="1">IF(ISNA(IF(S109="",#N/A,S109)),OFFSET(Tab.Insulation.Default!$A$1,$AL109-1,MATCH(AM$87&amp;"_"&amp;$K109,Tab.Insulation.Default!$1:$1,0)-1),#N/A)</f>
        <v>#N/A</v>
      </c>
      <c r="AN109" s="27">
        <f t="shared" si="29"/>
        <v>15</v>
      </c>
      <c r="AO109" s="22" t="e">
        <f ca="1">IF(ISNA(IF(V109="",#N/A,V109)),OFFSET(Tab.Insulation.Default!$A$1,$AL109-1,MATCH(AO$87&amp;"_"&amp;$K109,Tab.Insulation.Default!$1:$1,0)-1),#N/A)</f>
        <v>#N/A</v>
      </c>
      <c r="AP109" s="23">
        <f t="shared" si="30"/>
        <v>3.5000000000000003E-2</v>
      </c>
      <c r="AQ109" s="29" t="str">
        <f t="shared" si="4"/>
        <v>Gen.Refurbished.12</v>
      </c>
      <c r="AR109" s="17">
        <f>MATCH(AR$88&amp;"."&amp;AQ109,Tab.Measure.f.Default!$A:$A,0)</f>
        <v>23</v>
      </c>
      <c r="AS109" s="21">
        <f ca="1">OFFSET(Tab.Measure.f.Default!$A$1,AR109-1,MATCH(AS$87&amp;"_"&amp;$J109,Tab.Measure.f.Default!$1:$1,0)-1)</f>
        <v>0.75</v>
      </c>
      <c r="AT109" s="29" t="str">
        <f t="shared" si="5"/>
        <v>MUH.NA.03</v>
      </c>
      <c r="AU109" s="17">
        <f>MATCH(AU$88&amp;"."&amp;AT109,Tab.Measure.f.Default!$A:$A,0)</f>
        <v>38</v>
      </c>
      <c r="AV109" s="21">
        <f ca="1">OFFSET(Tab.Measure.f.Default!$A$1,AU109-1,MATCH(AV$87&amp;"_"&amp;$J109,Tab.Measure.f.Default!$1:$1,0)-1)</f>
        <v>0.37</v>
      </c>
      <c r="AW109" s="30">
        <f t="shared" si="33"/>
        <v>0.75</v>
      </c>
      <c r="AX109" s="9">
        <f t="shared" ca="1" si="6"/>
        <v>0.66666666666666663</v>
      </c>
      <c r="AY109" s="9">
        <f t="shared" si="7"/>
        <v>4.2857142857142856</v>
      </c>
      <c r="AZ109" s="9">
        <f t="shared" ca="1" si="34"/>
        <v>4.9523809523809526</v>
      </c>
      <c r="BA109" s="9">
        <f t="shared" ca="1" si="35"/>
        <v>0.20192307692307693</v>
      </c>
      <c r="BB109" s="9">
        <f t="shared" ca="1" si="8"/>
        <v>0.52644230769230771</v>
      </c>
      <c r="BC109" s="32" t="str">
        <f t="shared" si="9"/>
        <v>D</v>
      </c>
      <c r="BD109" s="20" t="str">
        <f ca="1">OFFSET(Tab.Uncertainty.Levels!$A$1,MATCH(BD$88,Tab.Uncertainty.Levels!$A:$A,0)-1,MATCH(BD$87&amp;"_"&amp;BC109,Tab.Uncertainty.Levels!$1:$1,0)-1)</f>
        <v>Use of default values; building constructed until 1983</v>
      </c>
      <c r="BE109" s="24">
        <f ca="1">OFFSET(Tab.Uncertainty.Levels!$A$1,MATCH(BE$88,Tab.Uncertainty.Levels!$A:$A,0)-1,MATCH(BE$87&amp;"_"&amp;BC109,Tab.Uncertainty.Levels!$1:$1,0)-1)</f>
        <v>0.3</v>
      </c>
      <c r="BF109" s="32" t="str">
        <f t="shared" si="10"/>
        <v>-</v>
      </c>
      <c r="BG109" s="20" t="e">
        <f ca="1">OFFSET(Tab.Uncertainty.Levels!$A$1,MATCH(BG$88,Tab.Uncertainty.Levels!$A:$A,0)-1,MATCH(BG$87&amp;"_"&amp;BF109,Tab.Uncertainty.Levels!$1:$1,0)-1)</f>
        <v>#N/A</v>
      </c>
      <c r="BH109" s="24" t="e">
        <f ca="1">OFFSET(Tab.Uncertainty.Levels!$A$1,MATCH(BH$88,Tab.Uncertainty.Levels!$A:$A,0)-1,MATCH(BH$87&amp;"_"&amp;BF109,Tab.Uncertainty.Levels!$1:$1,0)-1)</f>
        <v>#N/A</v>
      </c>
      <c r="BI109" s="32" t="str">
        <f t="shared" si="31"/>
        <v>D</v>
      </c>
      <c r="BJ109" s="13">
        <f ca="1">IF(BF109="-",BE109,BH109)</f>
        <v>0.3</v>
      </c>
      <c r="BK109" s="32" t="str">
        <f>IF(OR($L109="NoDataSource",IFERROR(IF($S109="",#N/A,$S109),0)=0),IF(IFERROR(IF(U109="",#N/A,U109),0)=0,"E","D"),IF($L109="DesignDataPlusQA","A",IF($L109="DesignData","B","C")))</f>
        <v>C</v>
      </c>
      <c r="BL109" s="20" t="str">
        <f ca="1">OFFSET(Tab.Uncertainty.Levels!$A$1,MATCH(BL$88,Tab.Uncertainty.Levels!$A:$A,0)-1,MATCH(BL$87&amp;"_"&amp;BK109,Tab.Uncertainty.Levels!$1:$1,0)-1)</f>
        <v>Insulation thickness determined by inspection onsite / record or statement of owner</v>
      </c>
      <c r="BM109" s="24">
        <f ca="1">OFFSET(Tab.Uncertainty.Levels!$A$1,MATCH(BM$88,Tab.Uncertainty.Levels!$A:$A,0)-1,MATCH(BM$87&amp;"_"&amp;BK109,Tab.Uncertainty.Levels!$1:$1,0)-1)</f>
        <v>0.25</v>
      </c>
      <c r="BN109" s="34">
        <f ca="1">OFFSET(Tab.Uncertainty.Levels!$A$1,MATCH(BN$88,Tab.Uncertainty.Levels!$A:$A,0)-1,MATCH(BN$87&amp;"_"&amp;BK109,Tab.Uncertainty.Levels!$1:$1,0)-1)</f>
        <v>2</v>
      </c>
      <c r="BO109" s="13">
        <f ca="1">IFERROR(MIN(BM109,BN109/AN109),0)</f>
        <v>0.13333333333333333</v>
      </c>
      <c r="BP109" s="32" t="str">
        <f>IF(OR($L109="NoDataSource",IFERROR(IF($V109="",#N/A,$V109),0)=0),IF(IFERROR(IF(U109="",#N/A,U109),0)=0,"E","D"),IF($L109="DesignDataPlusQA","A",IF($L109="DesignData","B","C")))</f>
        <v>C</v>
      </c>
      <c r="BQ109" s="20" t="str">
        <f ca="1">OFFSET(Tab.Uncertainty.Levels!$A$1,MATCH(BQ$88,Tab.Uncertainty.Levels!$A:$A,0)-1,MATCH(BQ$87&amp;"_"&amp;BP109,Tab.Uncertainty.Levels!$1:$1,0)-1)</f>
        <v>Thermal conductivity of Insulation determined by inspection onsite / record or statement of owner</v>
      </c>
      <c r="BR109" s="97">
        <f ca="1">OFFSET(Tab.Uncertainty.Levels!$A$1,MATCH(BR$88,Tab.Uncertainty.Levels!$A:$A,0)-1,MATCH(BR$87&amp;"_"&amp;BP109,Tab.Uncertainty.Levels!$1:$1,0)-1)</f>
        <v>0.15</v>
      </c>
      <c r="BS109" s="32" t="str">
        <f>IF(L109="NoDataSource","D",IF(IFERROR(IF($T109="",#N/A,$T109),0)=0,IF(OR(IFERROR(IF($S109="",#N/A,$S109),0)&gt;0,$R109="Refurbish"),"D","E"),IF($L109="DesignDataPlusQA","A",IF($L109="DesignData","B","C"))))</f>
        <v>C</v>
      </c>
      <c r="BT109" s="20" t="str">
        <f ca="1">OFFSET(Tab.Uncertainty.Levels!$A$1,MATCH(BT$88,Tab.Uncertainty.Levels!$A:$A,0)-1,MATCH(BT$87&amp;"_"&amp;BS109,Tab.Uncertainty.Levels!$1:$1,0)-1)</f>
        <v>Insulation fraction determined by inspection onsite / record or statement of owner</v>
      </c>
      <c r="BU109" s="33">
        <f ca="1">OFFSET(Tab.Uncertainty.Levels!$A$1,MATCH(BU$88,Tab.Uncertainty.Levels!$A:$A,0)-1,MATCH(BU$87&amp;"_"&amp;BS109,Tab.Uncertainty.Levels!$1:$1,0)-1)</f>
        <v>0.2</v>
      </c>
      <c r="BV109" s="13">
        <f ca="1">IFERROR(MIN(BU109/AW109,1,(1-AW109)/AW109),0)</f>
        <v>0.26666666666666666</v>
      </c>
      <c r="BW109" s="96">
        <f ca="1">ABS(1+(AW109*(1/(1+AN109/100/AP109*AG109)^2-1)))*BJ109*$AG109</f>
        <v>0.11861593934911244</v>
      </c>
      <c r="BX109" s="96">
        <f ca="1">ABS(-AG109+1/(1/AG109+AN109/100/AP109))*BV109*AW109</f>
        <v>0.25961538461538458</v>
      </c>
      <c r="BY109" s="96">
        <f ca="1">ABS(-AW109*AP109/((AP109/AG109+AN109/100)^2))*(BO109*AN109/100)</f>
        <v>1.7474112426035505E-2</v>
      </c>
      <c r="BZ109" s="202">
        <f ca="1">ABS(AW109*AN109/100/(1/AG109*AP109+AN109/100)^2)*(BR109*AP109)</f>
        <v>1.9658376479289939E-2</v>
      </c>
      <c r="CA109" s="103">
        <f t="shared" ca="1" si="32"/>
        <v>0.28663859713504325</v>
      </c>
      <c r="CB109" s="37">
        <f t="shared" ca="1" si="11"/>
        <v>0.22531612223393047</v>
      </c>
      <c r="CC109" s="37">
        <f t="shared" ca="1" si="12"/>
        <v>0.49315068493150677</v>
      </c>
      <c r="CD109" s="37">
        <f t="shared" ca="1" si="13"/>
        <v>3.319283456269758E-2</v>
      </c>
      <c r="CE109" s="37">
        <f t="shared" ca="1" si="14"/>
        <v>3.7341938883034768E-2</v>
      </c>
      <c r="CF109" s="13">
        <f t="shared" ca="1" si="15"/>
        <v>0.54448244935241086</v>
      </c>
      <c r="CG109" s="101">
        <f ca="1">AG109</f>
        <v>1.5</v>
      </c>
      <c r="CH109" s="101">
        <f>AW109</f>
        <v>0.75</v>
      </c>
      <c r="CI109" s="203">
        <f>IF(CH109&gt;0,AN109,0)</f>
        <v>15</v>
      </c>
      <c r="CJ109" s="102">
        <f>IF(AND(CH109&gt;0,CI109&gt;0),AP109,0)</f>
        <v>3.5000000000000003E-2</v>
      </c>
      <c r="CK109" s="102">
        <f ca="1">BB109</f>
        <v>0.52644230769230771</v>
      </c>
      <c r="CL109" s="37">
        <f t="shared" ca="1" si="16"/>
        <v>0.3</v>
      </c>
      <c r="CM109" s="37">
        <f t="shared" ca="1" si="17"/>
        <v>0.26666666666666666</v>
      </c>
      <c r="CN109" s="37">
        <f t="shared" ca="1" si="18"/>
        <v>0.13333333333333333</v>
      </c>
      <c r="CO109" s="37">
        <f t="shared" ca="1" si="19"/>
        <v>0.15</v>
      </c>
      <c r="CP109" s="37">
        <f t="shared" ca="1" si="20"/>
        <v>0.54448244935241086</v>
      </c>
      <c r="CQ109" s="95">
        <f t="shared" ca="1" si="21"/>
        <v>0.44999999999999996</v>
      </c>
      <c r="CR109" s="95">
        <f t="shared" ca="1" si="22"/>
        <v>0.2</v>
      </c>
      <c r="CS109" s="95">
        <f t="shared" ca="1" si="23"/>
        <v>2</v>
      </c>
      <c r="CT109" s="103">
        <f t="shared" ca="1" si="24"/>
        <v>5.2500000000000003E-3</v>
      </c>
      <c r="CU109" s="95">
        <f t="shared" ca="1" si="25"/>
        <v>0.28663859713504325</v>
      </c>
      <c r="CV109" s="37">
        <f ca="1">$CB109^2/$CF109^2</f>
        <v>0.17124455279528575</v>
      </c>
      <c r="CW109" s="37">
        <f ca="1">$CD109^2/$CF109^2</f>
        <v>3.7163868257057637E-3</v>
      </c>
      <c r="CX109" s="37">
        <f ca="1">$CE109^2/$CF109^2</f>
        <v>4.703552076283854E-3</v>
      </c>
      <c r="CY109" s="37">
        <f ca="1">$CC109^2/$CF109^2</f>
        <v>0.82033550830272473</v>
      </c>
      <c r="DA109" s="98" t="s">
        <v>456</v>
      </c>
      <c r="DB109" s="35">
        <f ca="1">OFFSET($A$1,ROW(DB109)-1,MATCH(DA109,$1:$1,0)-1)</f>
        <v>0.75</v>
      </c>
      <c r="DC109" s="9">
        <f ca="1">BB109</f>
        <v>0.52644230769230771</v>
      </c>
      <c r="DD109" s="9">
        <f ca="1">$DC109+$CA109</f>
        <v>0.81308090482735096</v>
      </c>
      <c r="DE109" s="9">
        <f ca="1">$DC109-$CA109</f>
        <v>0.23980371055726446</v>
      </c>
      <c r="DF109" s="10">
        <f t="shared" ca="1" si="26"/>
        <v>0.54448244935241086</v>
      </c>
    </row>
    <row r="110" spans="1:110" s="8" customFormat="1" ht="32.4" customHeight="1">
      <c r="A110" s="206" t="s">
        <v>556</v>
      </c>
      <c r="B110" s="208" t="s">
        <v>2340</v>
      </c>
      <c r="C110" s="206" t="s">
        <v>55</v>
      </c>
      <c r="D110" s="206"/>
      <c r="E110" s="206"/>
      <c r="F110" s="206"/>
      <c r="G110" s="206" t="s">
        <v>2170</v>
      </c>
      <c r="H110" s="206" t="s">
        <v>2171</v>
      </c>
      <c r="I110" s="156" t="s">
        <v>80</v>
      </c>
      <c r="J110" s="156" t="s">
        <v>134</v>
      </c>
      <c r="K110" s="156" t="s">
        <v>155</v>
      </c>
      <c r="L110" s="156" t="s">
        <v>66</v>
      </c>
      <c r="M110" s="156" t="s">
        <v>188</v>
      </c>
      <c r="N110" s="7">
        <v>1925</v>
      </c>
      <c r="O110" s="156">
        <v>1</v>
      </c>
      <c r="P110" s="156">
        <v>0</v>
      </c>
      <c r="Q110" s="156" t="s">
        <v>435</v>
      </c>
      <c r="R110" s="156" t="s">
        <v>58</v>
      </c>
      <c r="S110" s="19">
        <v>15</v>
      </c>
      <c r="T110" s="19">
        <v>1</v>
      </c>
      <c r="U110" s="19">
        <v>2016</v>
      </c>
      <c r="V110" s="19">
        <v>3.5000000000000003E-2</v>
      </c>
      <c r="W110" s="28" t="s">
        <v>59</v>
      </c>
      <c r="X110" s="19" t="e">
        <v>#N/A</v>
      </c>
      <c r="Y110" s="105">
        <f ca="1">IFERROR(OFFSET(Tab.Const.ConstrBorder!$A$1,MATCH(Q110,Tab.Const.ConstrBorder!$A:$A,0)-1,MATCH(Y$87,Tab.Const.ConstrBorder!$1:$1,0)-1),0)</f>
        <v>0</v>
      </c>
      <c r="Z110" s="18">
        <f t="shared" si="27"/>
        <v>1925</v>
      </c>
      <c r="AA110" s="17">
        <f>MATCH(Z110,Tab.Year.Period!$11:$11,1)-3</f>
        <v>3</v>
      </c>
      <c r="AB110" s="17">
        <f>MATCH(AB$88&amp;"."&amp;TEXT(AA110,"00"),Tab.U.Default!$A:$A,0)</f>
        <v>26</v>
      </c>
      <c r="AC110" s="105">
        <f ca="1">OFFSET(Tab.U.Default!$A$1,$AB110-1,MATCH("U_Class_"&amp;IF($J110="TopCeiling","UpperCeiling",$J110)&amp;"_"&amp;AC$87,Tab.U.Default!$1:$1,0)-1)</f>
        <v>1.5</v>
      </c>
      <c r="AD110" s="105">
        <f ca="1">OFFSET(Tab.U.Default!$A$1,$AB110-1,MATCH("U_Class_"&amp;IF($J110="TopCeiling","UpperCeiling",$J110)&amp;"_"&amp;AD$87,Tab.U.Default!$1:$1,0)-1)</f>
        <v>1.5</v>
      </c>
      <c r="AE110" s="105">
        <f ca="1">OFFSET(Tab.U.Default!$A$1,$AB110-1,MATCH("U_Class_"&amp;IF($J110="TopCeiling","UpperCeiling",$J110)&amp;"_"&amp;AE$87,Tab.U.Default!$1:$1,0)-1)</f>
        <v>1.5</v>
      </c>
      <c r="AF110" s="26">
        <f t="shared" ca="1" si="0"/>
        <v>1.5</v>
      </c>
      <c r="AG110" s="26">
        <f t="shared" ca="1" si="1"/>
        <v>1.5</v>
      </c>
      <c r="AH110" s="18" t="str">
        <f t="shared" si="2"/>
        <v>Refurbish</v>
      </c>
      <c r="AI110" s="18" t="str">
        <f t="shared" si="28"/>
        <v>Add</v>
      </c>
      <c r="AJ110" s="18">
        <f t="shared" si="3"/>
        <v>2016</v>
      </c>
      <c r="AK110" s="17">
        <f>MATCH(AJ110,Tab.Year.Period!$11:$11,1)-3</f>
        <v>12</v>
      </c>
      <c r="AL110" s="17">
        <f>MATCH(AL$88&amp;"."&amp;TEXT(AK110,"00"),Tab.Insulation.Default!$A:$A,0)</f>
        <v>23</v>
      </c>
      <c r="AM110" s="20" t="e">
        <f ca="1">IF(ISNA(IF(S110="",#N/A,S110)),OFFSET(Tab.Insulation.Default!$A$1,$AL110-1,MATCH(AM$87&amp;"_"&amp;$K110,Tab.Insulation.Default!$1:$1,0)-1),#N/A)</f>
        <v>#N/A</v>
      </c>
      <c r="AN110" s="27">
        <f t="shared" si="29"/>
        <v>15</v>
      </c>
      <c r="AO110" s="22" t="e">
        <f ca="1">IF(ISNA(IF(V110="",#N/A,V110)),OFFSET(Tab.Insulation.Default!$A$1,$AL110-1,MATCH(AO$87&amp;"_"&amp;$K110,Tab.Insulation.Default!$1:$1,0)-1),#N/A)</f>
        <v>#N/A</v>
      </c>
      <c r="AP110" s="23">
        <f t="shared" si="30"/>
        <v>3.5000000000000003E-2</v>
      </c>
      <c r="AQ110" s="29" t="str">
        <f t="shared" si="4"/>
        <v>Gen.Refurbished.12</v>
      </c>
      <c r="AR110" s="17">
        <f>MATCH(AR$88&amp;"."&amp;AQ110,Tab.Measure.f.Default!$A:$A,0)</f>
        <v>23</v>
      </c>
      <c r="AS110" s="21">
        <f ca="1">OFFSET(Tab.Measure.f.Default!$A$1,AR110-1,MATCH(AS$87&amp;"_"&amp;$J110,Tab.Measure.f.Default!$1:$1,0)-1)</f>
        <v>0.75</v>
      </c>
      <c r="AT110" s="29" t="str">
        <f t="shared" si="5"/>
        <v>MUH.NA.03</v>
      </c>
      <c r="AU110" s="17">
        <f>MATCH(AU$88&amp;"."&amp;AT110,Tab.Measure.f.Default!$A:$A,0)</f>
        <v>38</v>
      </c>
      <c r="AV110" s="21">
        <f ca="1">OFFSET(Tab.Measure.f.Default!$A$1,AU110-1,MATCH(AV$87&amp;"_"&amp;$J110,Tab.Measure.f.Default!$1:$1,0)-1)</f>
        <v>0.37</v>
      </c>
      <c r="AW110" s="30">
        <f t="shared" si="33"/>
        <v>1</v>
      </c>
      <c r="AX110" s="9">
        <f t="shared" ca="1" si="6"/>
        <v>0.66666666666666663</v>
      </c>
      <c r="AY110" s="9">
        <f t="shared" si="7"/>
        <v>4.2857142857142856</v>
      </c>
      <c r="AZ110" s="9">
        <f t="shared" ca="1" si="34"/>
        <v>4.9523809523809526</v>
      </c>
      <c r="BA110" s="9">
        <f t="shared" ca="1" si="35"/>
        <v>0.20192307692307693</v>
      </c>
      <c r="BB110" s="9">
        <f t="shared" ca="1" si="8"/>
        <v>0.20192307692307693</v>
      </c>
      <c r="BC110" s="32" t="str">
        <f t="shared" si="9"/>
        <v>D</v>
      </c>
      <c r="BD110" s="20" t="str">
        <f ca="1">OFFSET(Tab.Uncertainty.Levels!$A$1,MATCH(BD$88,Tab.Uncertainty.Levels!$A:$A,0)-1,MATCH(BD$87&amp;"_"&amp;BC110,Tab.Uncertainty.Levels!$1:$1,0)-1)</f>
        <v>Use of default values; building constructed until 1983</v>
      </c>
      <c r="BE110" s="24">
        <f ca="1">OFFSET(Tab.Uncertainty.Levels!$A$1,MATCH(BE$88,Tab.Uncertainty.Levels!$A:$A,0)-1,MATCH(BE$87&amp;"_"&amp;BC110,Tab.Uncertainty.Levels!$1:$1,0)-1)</f>
        <v>0.3</v>
      </c>
      <c r="BF110" s="32" t="str">
        <f t="shared" si="10"/>
        <v>-</v>
      </c>
      <c r="BG110" s="20" t="e">
        <f ca="1">OFFSET(Tab.Uncertainty.Levels!$A$1,MATCH(BG$88,Tab.Uncertainty.Levels!$A:$A,0)-1,MATCH(BG$87&amp;"_"&amp;BF110,Tab.Uncertainty.Levels!$1:$1,0)-1)</f>
        <v>#N/A</v>
      </c>
      <c r="BH110" s="24" t="e">
        <f ca="1">OFFSET(Tab.Uncertainty.Levels!$A$1,MATCH(BH$88,Tab.Uncertainty.Levels!$A:$A,0)-1,MATCH(BH$87&amp;"_"&amp;BF110,Tab.Uncertainty.Levels!$1:$1,0)-1)</f>
        <v>#N/A</v>
      </c>
      <c r="BI110" s="32" t="str">
        <f t="shared" si="31"/>
        <v>D</v>
      </c>
      <c r="BJ110" s="13">
        <f ca="1">IF(BF110="-",BE110,BH110)</f>
        <v>0.3</v>
      </c>
      <c r="BK110" s="32" t="str">
        <f>IF(OR($L110="NoDataSource",IFERROR(IF($S110="",#N/A,$S110),0)=0),IF(IFERROR(IF(U110="",#N/A,U110),0)=0,"E","D"),IF($L110="DesignDataPlusQA","A",IF($L110="DesignData","B","C")))</f>
        <v>C</v>
      </c>
      <c r="BL110" s="20" t="str">
        <f ca="1">OFFSET(Tab.Uncertainty.Levels!$A$1,MATCH(BL$88,Tab.Uncertainty.Levels!$A:$A,0)-1,MATCH(BL$87&amp;"_"&amp;BK110,Tab.Uncertainty.Levels!$1:$1,0)-1)</f>
        <v>Insulation thickness determined by inspection onsite / record or statement of owner</v>
      </c>
      <c r="BM110" s="24">
        <f ca="1">OFFSET(Tab.Uncertainty.Levels!$A$1,MATCH(BM$88,Tab.Uncertainty.Levels!$A:$A,0)-1,MATCH(BM$87&amp;"_"&amp;BK110,Tab.Uncertainty.Levels!$1:$1,0)-1)</f>
        <v>0.25</v>
      </c>
      <c r="BN110" s="34">
        <f ca="1">OFFSET(Tab.Uncertainty.Levels!$A$1,MATCH(BN$88,Tab.Uncertainty.Levels!$A:$A,0)-1,MATCH(BN$87&amp;"_"&amp;BK110,Tab.Uncertainty.Levels!$1:$1,0)-1)</f>
        <v>2</v>
      </c>
      <c r="BO110" s="13">
        <f ca="1">IFERROR(MIN(BM110,BN110/AN110),0)</f>
        <v>0.13333333333333333</v>
      </c>
      <c r="BP110" s="32" t="str">
        <f>IF(OR($L110="NoDataSource",IFERROR(IF($V110="",#N/A,$V110),0)=0),IF(IFERROR(IF(U110="",#N/A,U110),0)=0,"E","D"),IF($L110="DesignDataPlusQA","A",IF($L110="DesignData","B","C")))</f>
        <v>C</v>
      </c>
      <c r="BQ110" s="20" t="str">
        <f ca="1">OFFSET(Tab.Uncertainty.Levels!$A$1,MATCH(BQ$88,Tab.Uncertainty.Levels!$A:$A,0)-1,MATCH(BQ$87&amp;"_"&amp;BP110,Tab.Uncertainty.Levels!$1:$1,0)-1)</f>
        <v>Thermal conductivity of Insulation determined by inspection onsite / record or statement of owner</v>
      </c>
      <c r="BR110" s="97">
        <f ca="1">OFFSET(Tab.Uncertainty.Levels!$A$1,MATCH(BR$88,Tab.Uncertainty.Levels!$A:$A,0)-1,MATCH(BR$87&amp;"_"&amp;BP110,Tab.Uncertainty.Levels!$1:$1,0)-1)</f>
        <v>0.15</v>
      </c>
      <c r="BS110" s="32" t="str">
        <f>IF(L110="NoDataSource","D",IF(IFERROR(IF($T110="",#N/A,$T110),0)=0,IF(OR(IFERROR(IF($S110="",#N/A,$S110),0)&gt;0,$R110="Refurbish"),"D","E"),IF($L110="DesignDataPlusQA","A",IF($L110="DesignData","B","C"))))</f>
        <v>C</v>
      </c>
      <c r="BT110" s="20" t="str">
        <f ca="1">OFFSET(Tab.Uncertainty.Levels!$A$1,MATCH(BT$88,Tab.Uncertainty.Levels!$A:$A,0)-1,MATCH(BT$87&amp;"_"&amp;BS110,Tab.Uncertainty.Levels!$1:$1,0)-1)</f>
        <v>Insulation fraction determined by inspection onsite / record or statement of owner</v>
      </c>
      <c r="BU110" s="33">
        <f ca="1">OFFSET(Tab.Uncertainty.Levels!$A$1,MATCH(BU$88,Tab.Uncertainty.Levels!$A:$A,0)-1,MATCH(BU$87&amp;"_"&amp;BS110,Tab.Uncertainty.Levels!$1:$1,0)-1)</f>
        <v>0.2</v>
      </c>
      <c r="BV110" s="13">
        <f ca="1">IFERROR(MIN(BU110/AW110,1,(1-AW110)/AW110),0)</f>
        <v>0</v>
      </c>
      <c r="BW110" s="96">
        <f ca="1">ABS(1+(AW110*(1/(1+AN110/100/AP110*AG110)^2-1)))*BJ110*$AG110</f>
        <v>8.1545857988165656E-3</v>
      </c>
      <c r="BX110" s="96">
        <f ca="1">ABS(-AG110+1/(1/AG110+AN110/100/AP110))*BV110*AW110</f>
        <v>0</v>
      </c>
      <c r="BY110" s="96">
        <f ca="1">ABS(-AW110*AP110/((AP110/AG110+AN110/100)^2))*(BO110*AN110/100)</f>
        <v>2.3298816568047335E-2</v>
      </c>
      <c r="BZ110" s="202">
        <f ca="1">ABS(AW110*AN110/100/(1/AG110*AP110+AN110/100)^2)*(BR110*AP110)</f>
        <v>2.6211168639053255E-2</v>
      </c>
      <c r="CA110" s="103">
        <f t="shared" ca="1" si="32"/>
        <v>3.600496471941983E-2</v>
      </c>
      <c r="CB110" s="37">
        <f t="shared" ca="1" si="11"/>
        <v>4.0384615384615373E-2</v>
      </c>
      <c r="CC110" s="37">
        <f t="shared" ca="1" si="12"/>
        <v>0</v>
      </c>
      <c r="CD110" s="37">
        <f t="shared" ca="1" si="13"/>
        <v>0.11538461538461536</v>
      </c>
      <c r="CE110" s="37">
        <f t="shared" ca="1" si="14"/>
        <v>0.12980769230769232</v>
      </c>
      <c r="CF110" s="13">
        <f t="shared" ca="1" si="15"/>
        <v>0.17831030146760296</v>
      </c>
      <c r="CG110" s="101">
        <f ca="1">AG110</f>
        <v>1.5</v>
      </c>
      <c r="CH110" s="101">
        <f>AW110</f>
        <v>1</v>
      </c>
      <c r="CI110" s="203">
        <f>IF(CH110&gt;0,AN110,0)</f>
        <v>15</v>
      </c>
      <c r="CJ110" s="102">
        <f>IF(AND(CH110&gt;0,CI110&gt;0),AP110,0)</f>
        <v>3.5000000000000003E-2</v>
      </c>
      <c r="CK110" s="102">
        <f ca="1">BB110</f>
        <v>0.20192307692307693</v>
      </c>
      <c r="CL110" s="37">
        <f t="shared" ca="1" si="16"/>
        <v>0.3</v>
      </c>
      <c r="CM110" s="37">
        <f t="shared" ca="1" si="17"/>
        <v>0</v>
      </c>
      <c r="CN110" s="37">
        <f t="shared" ca="1" si="18"/>
        <v>0.13333333333333333</v>
      </c>
      <c r="CO110" s="37">
        <f t="shared" ca="1" si="19"/>
        <v>0.15</v>
      </c>
      <c r="CP110" s="37">
        <f t="shared" ca="1" si="20"/>
        <v>0.17831030146760296</v>
      </c>
      <c r="CQ110" s="95">
        <f t="shared" ca="1" si="21"/>
        <v>0.44999999999999996</v>
      </c>
      <c r="CR110" s="95">
        <f t="shared" ca="1" si="22"/>
        <v>0</v>
      </c>
      <c r="CS110" s="95">
        <f t="shared" ca="1" si="23"/>
        <v>2</v>
      </c>
      <c r="CT110" s="103">
        <f t="shared" ca="1" si="24"/>
        <v>5.2500000000000003E-3</v>
      </c>
      <c r="CU110" s="95">
        <f t="shared" ca="1" si="25"/>
        <v>3.600496471941983E-2</v>
      </c>
      <c r="CV110" s="37">
        <f ca="1">$CB110^2/$CF110^2</f>
        <v>5.1295472389426819E-2</v>
      </c>
      <c r="CW110" s="37">
        <f ca="1">$CD110^2/$CF110^2</f>
        <v>0.41873855011777011</v>
      </c>
      <c r="CX110" s="37">
        <f ca="1">$CE110^2/$CF110^2</f>
        <v>0.52996597749280305</v>
      </c>
      <c r="CY110" s="37">
        <f ca="1">$CC110^2/$CF110^2</f>
        <v>0</v>
      </c>
      <c r="DA110" s="98" t="s">
        <v>456</v>
      </c>
      <c r="DB110" s="35">
        <f ca="1">OFFSET($A$1,ROW(DB110)-1,MATCH(DA110,$1:$1,0)-1)</f>
        <v>1</v>
      </c>
      <c r="DC110" s="9">
        <f ca="1">BB110</f>
        <v>0.20192307692307693</v>
      </c>
      <c r="DD110" s="9">
        <f ca="1">$DC110+$CA110</f>
        <v>0.23792804164249676</v>
      </c>
      <c r="DE110" s="9">
        <f ca="1">$DC110-$CA110</f>
        <v>0.1659181122036571</v>
      </c>
      <c r="DF110" s="10">
        <f t="shared" ca="1" si="26"/>
        <v>0.17831030146760296</v>
      </c>
    </row>
    <row r="111" spans="1:110" s="8" customFormat="1" ht="32.4" customHeight="1">
      <c r="A111" s="206" t="s">
        <v>557</v>
      </c>
      <c r="B111" s="208" t="s">
        <v>2340</v>
      </c>
      <c r="C111" s="206" t="s">
        <v>83</v>
      </c>
      <c r="D111" s="206"/>
      <c r="E111" s="206"/>
      <c r="F111" s="206"/>
      <c r="G111" s="206" t="s">
        <v>2170</v>
      </c>
      <c r="H111" s="206" t="s">
        <v>2171</v>
      </c>
      <c r="I111" s="156" t="s">
        <v>80</v>
      </c>
      <c r="J111" s="156" t="s">
        <v>134</v>
      </c>
      <c r="K111" s="156" t="s">
        <v>155</v>
      </c>
      <c r="L111" s="156" t="s">
        <v>67</v>
      </c>
      <c r="M111" s="156" t="s">
        <v>188</v>
      </c>
      <c r="N111" s="7">
        <v>1925</v>
      </c>
      <c r="O111" s="156">
        <v>1</v>
      </c>
      <c r="P111" s="156">
        <v>0</v>
      </c>
      <c r="Q111" s="156" t="s">
        <v>435</v>
      </c>
      <c r="R111" s="156" t="s">
        <v>58</v>
      </c>
      <c r="S111" s="19">
        <v>15</v>
      </c>
      <c r="T111" s="19">
        <v>1</v>
      </c>
      <c r="U111" s="19">
        <v>2016</v>
      </c>
      <c r="V111" s="19">
        <v>3.5000000000000003E-2</v>
      </c>
      <c r="W111" s="28" t="s">
        <v>59</v>
      </c>
      <c r="X111" s="19" t="e">
        <v>#N/A</v>
      </c>
      <c r="Y111" s="105">
        <f ca="1">IFERROR(OFFSET(Tab.Const.ConstrBorder!$A$1,MATCH(Q111,Tab.Const.ConstrBorder!$A:$A,0)-1,MATCH(Y$87,Tab.Const.ConstrBorder!$1:$1,0)-1),0)</f>
        <v>0</v>
      </c>
      <c r="Z111" s="18">
        <f t="shared" si="27"/>
        <v>1925</v>
      </c>
      <c r="AA111" s="17">
        <f>MATCH(Z111,Tab.Year.Period!$11:$11,1)-3</f>
        <v>3</v>
      </c>
      <c r="AB111" s="17">
        <f>MATCH(AB$88&amp;"."&amp;TEXT(AA111,"00"),Tab.U.Default!$A:$A,0)</f>
        <v>26</v>
      </c>
      <c r="AC111" s="105">
        <f ca="1">OFFSET(Tab.U.Default!$A$1,$AB111-1,MATCH("U_Class_"&amp;IF($J111="TopCeiling","UpperCeiling",$J111)&amp;"_"&amp;AC$87,Tab.U.Default!$1:$1,0)-1)</f>
        <v>1.5</v>
      </c>
      <c r="AD111" s="105">
        <f ca="1">OFFSET(Tab.U.Default!$A$1,$AB111-1,MATCH("U_Class_"&amp;IF($J111="TopCeiling","UpperCeiling",$J111)&amp;"_"&amp;AD$87,Tab.U.Default!$1:$1,0)-1)</f>
        <v>1.5</v>
      </c>
      <c r="AE111" s="105">
        <f ca="1">OFFSET(Tab.U.Default!$A$1,$AB111-1,MATCH("U_Class_"&amp;IF($J111="TopCeiling","UpperCeiling",$J111)&amp;"_"&amp;AE$87,Tab.U.Default!$1:$1,0)-1)</f>
        <v>1.5</v>
      </c>
      <c r="AF111" s="26">
        <f t="shared" ca="1" si="0"/>
        <v>1.5</v>
      </c>
      <c r="AG111" s="26">
        <f t="shared" ca="1" si="1"/>
        <v>1.5</v>
      </c>
      <c r="AH111" s="18" t="str">
        <f t="shared" si="2"/>
        <v>Refurbish</v>
      </c>
      <c r="AI111" s="18" t="str">
        <f t="shared" si="28"/>
        <v>Add</v>
      </c>
      <c r="AJ111" s="18">
        <f t="shared" si="3"/>
        <v>2016</v>
      </c>
      <c r="AK111" s="17">
        <f>MATCH(AJ111,Tab.Year.Period!$11:$11,1)-3</f>
        <v>12</v>
      </c>
      <c r="AL111" s="17">
        <f>MATCH(AL$88&amp;"."&amp;TEXT(AK111,"00"),Tab.Insulation.Default!$A:$A,0)</f>
        <v>23</v>
      </c>
      <c r="AM111" s="20" t="e">
        <f ca="1">IF(ISNA(IF(S111="",#N/A,S111)),OFFSET(Tab.Insulation.Default!$A$1,$AL111-1,MATCH(AM$87&amp;"_"&amp;$K111,Tab.Insulation.Default!$1:$1,0)-1),#N/A)</f>
        <v>#N/A</v>
      </c>
      <c r="AN111" s="27">
        <f t="shared" si="29"/>
        <v>15</v>
      </c>
      <c r="AO111" s="22" t="e">
        <f ca="1">IF(ISNA(IF(V111="",#N/A,V111)),OFFSET(Tab.Insulation.Default!$A$1,$AL111-1,MATCH(AO$87&amp;"_"&amp;$K111,Tab.Insulation.Default!$1:$1,0)-1),#N/A)</f>
        <v>#N/A</v>
      </c>
      <c r="AP111" s="23">
        <f t="shared" si="30"/>
        <v>3.5000000000000003E-2</v>
      </c>
      <c r="AQ111" s="29" t="str">
        <f t="shared" si="4"/>
        <v>Gen.Refurbished.12</v>
      </c>
      <c r="AR111" s="17">
        <f>MATCH(AR$88&amp;"."&amp;AQ111,Tab.Measure.f.Default!$A:$A,0)</f>
        <v>23</v>
      </c>
      <c r="AS111" s="21">
        <f ca="1">OFFSET(Tab.Measure.f.Default!$A$1,AR111-1,MATCH(AS$87&amp;"_"&amp;$J111,Tab.Measure.f.Default!$1:$1,0)-1)</f>
        <v>0.75</v>
      </c>
      <c r="AT111" s="29" t="str">
        <f t="shared" si="5"/>
        <v>MUH.NA.03</v>
      </c>
      <c r="AU111" s="17">
        <f>MATCH(AU$88&amp;"."&amp;AT111,Tab.Measure.f.Default!$A:$A,0)</f>
        <v>38</v>
      </c>
      <c r="AV111" s="21">
        <f ca="1">OFFSET(Tab.Measure.f.Default!$A$1,AU111-1,MATCH(AV$87&amp;"_"&amp;$J111,Tab.Measure.f.Default!$1:$1,0)-1)</f>
        <v>0.37</v>
      </c>
      <c r="AW111" s="30">
        <f t="shared" si="33"/>
        <v>1</v>
      </c>
      <c r="AX111" s="9">
        <f t="shared" ca="1" si="6"/>
        <v>0.66666666666666663</v>
      </c>
      <c r="AY111" s="9">
        <f t="shared" si="7"/>
        <v>4.2857142857142856</v>
      </c>
      <c r="AZ111" s="9">
        <f t="shared" ca="1" si="34"/>
        <v>4.9523809523809526</v>
      </c>
      <c r="BA111" s="9">
        <f t="shared" ca="1" si="35"/>
        <v>0.20192307692307693</v>
      </c>
      <c r="BB111" s="9">
        <f t="shared" ca="1" si="8"/>
        <v>0.20192307692307693</v>
      </c>
      <c r="BC111" s="32" t="str">
        <f t="shared" si="9"/>
        <v>D</v>
      </c>
      <c r="BD111" s="20" t="str">
        <f ca="1">OFFSET(Tab.Uncertainty.Levels!$A$1,MATCH(BD$88,Tab.Uncertainty.Levels!$A:$A,0)-1,MATCH(BD$87&amp;"_"&amp;BC111,Tab.Uncertainty.Levels!$1:$1,0)-1)</f>
        <v>Use of default values; building constructed until 1983</v>
      </c>
      <c r="BE111" s="24">
        <f ca="1">OFFSET(Tab.Uncertainty.Levels!$A$1,MATCH(BE$88,Tab.Uncertainty.Levels!$A:$A,0)-1,MATCH(BE$87&amp;"_"&amp;BC111,Tab.Uncertainty.Levels!$1:$1,0)-1)</f>
        <v>0.3</v>
      </c>
      <c r="BF111" s="32" t="str">
        <f t="shared" si="10"/>
        <v>-</v>
      </c>
      <c r="BG111" s="20" t="e">
        <f ca="1">OFFSET(Tab.Uncertainty.Levels!$A$1,MATCH(BG$88,Tab.Uncertainty.Levels!$A:$A,0)-1,MATCH(BG$87&amp;"_"&amp;BF111,Tab.Uncertainty.Levels!$1:$1,0)-1)</f>
        <v>#N/A</v>
      </c>
      <c r="BH111" s="24" t="e">
        <f ca="1">OFFSET(Tab.Uncertainty.Levels!$A$1,MATCH(BH$88,Tab.Uncertainty.Levels!$A:$A,0)-1,MATCH(BH$87&amp;"_"&amp;BF111,Tab.Uncertainty.Levels!$1:$1,0)-1)</f>
        <v>#N/A</v>
      </c>
      <c r="BI111" s="32" t="str">
        <f t="shared" si="31"/>
        <v>D</v>
      </c>
      <c r="BJ111" s="13">
        <f ca="1">IF(BF111="-",BE111,BH111)</f>
        <v>0.3</v>
      </c>
      <c r="BK111" s="32" t="str">
        <f>IF(OR($L111="NoDataSource",IFERROR(IF($S111="",#N/A,$S111),0)=0),IF(IFERROR(IF(U111="",#N/A,U111),0)=0,"E","D"),IF($L111="DesignDataPlusQA","A",IF($L111="DesignData","B","C")))</f>
        <v>B</v>
      </c>
      <c r="BL111" s="20" t="str">
        <f ca="1">OFFSET(Tab.Uncertainty.Levels!$A$1,MATCH(BL$88,Tab.Uncertainty.Levels!$A:$A,0)-1,MATCH(BL$87&amp;"_"&amp;BK111,Tab.Uncertainty.Levels!$1:$1,0)-1)</f>
        <v>Insulation thickness from design data</v>
      </c>
      <c r="BM111" s="24">
        <f ca="1">OFFSET(Tab.Uncertainty.Levels!$A$1,MATCH(BM$88,Tab.Uncertainty.Levels!$A:$A,0)-1,MATCH(BM$87&amp;"_"&amp;BK111,Tab.Uncertainty.Levels!$1:$1,0)-1)</f>
        <v>0.1</v>
      </c>
      <c r="BN111" s="34">
        <f ca="1">OFFSET(Tab.Uncertainty.Levels!$A$1,MATCH(BN$88,Tab.Uncertainty.Levels!$A:$A,0)-1,MATCH(BN$87&amp;"_"&amp;BK111,Tab.Uncertainty.Levels!$1:$1,0)-1)</f>
        <v>1</v>
      </c>
      <c r="BO111" s="13">
        <f ca="1">IFERROR(MIN(BM111,BN111/AN111),0)</f>
        <v>6.6666666666666666E-2</v>
      </c>
      <c r="BP111" s="32" t="str">
        <f>IF(OR($L111="NoDataSource",IFERROR(IF($V111="",#N/A,$V111),0)=0),IF(IFERROR(IF(U111="",#N/A,U111),0)=0,"E","D"),IF($L111="DesignDataPlusQA","A",IF($L111="DesignData","B","C")))</f>
        <v>B</v>
      </c>
      <c r="BQ111" s="20" t="str">
        <f ca="1">OFFSET(Tab.Uncertainty.Levels!$A$1,MATCH(BQ$88,Tab.Uncertainty.Levels!$A:$A,0)-1,MATCH(BQ$87&amp;"_"&amp;BP111,Tab.Uncertainty.Levels!$1:$1,0)-1)</f>
        <v>Thermal conductivity of insulation from design data</v>
      </c>
      <c r="BR111" s="97">
        <f ca="1">OFFSET(Tab.Uncertainty.Levels!$A$1,MATCH(BR$88,Tab.Uncertainty.Levels!$A:$A,0)-1,MATCH(BR$87&amp;"_"&amp;BP111,Tab.Uncertainty.Levels!$1:$1,0)-1)</f>
        <v>0.1</v>
      </c>
      <c r="BS111" s="32" t="str">
        <f>IF(L111="NoDataSource","D",IF(IFERROR(IF($T111="",#N/A,$T111),0)=0,IF(OR(IFERROR(IF($S111="",#N/A,$S111),0)&gt;0,$R111="Refurbish"),"D","E"),IF($L111="DesignDataPlusQA","A",IF($L111="DesignData","B","C"))))</f>
        <v>B</v>
      </c>
      <c r="BT111" s="20" t="str">
        <f ca="1">OFFSET(Tab.Uncertainty.Levels!$A$1,MATCH(BT$88,Tab.Uncertainty.Levels!$A:$A,0)-1,MATCH(BT$87&amp;"_"&amp;BS111,Tab.Uncertainty.Levels!$1:$1,0)-1)</f>
        <v>Insulation fraction from design data</v>
      </c>
      <c r="BU111" s="33">
        <f ca="1">OFFSET(Tab.Uncertainty.Levels!$A$1,MATCH(BU$88,Tab.Uncertainty.Levels!$A:$A,0)-1,MATCH(BU$87&amp;"_"&amp;BS111,Tab.Uncertainty.Levels!$1:$1,0)-1)</f>
        <v>0.1</v>
      </c>
      <c r="BV111" s="13">
        <f ca="1">IFERROR(MIN(BU111/AW111,1,(1-AW111)/AW111),0)</f>
        <v>0</v>
      </c>
      <c r="BW111" s="96">
        <f ca="1">ABS(1+(AW111*(1/(1+AN111/100/AP111*AG111)^2-1)))*BJ111*$AG111</f>
        <v>8.1545857988165656E-3</v>
      </c>
      <c r="BX111" s="96">
        <f ca="1">ABS(-AG111+1/(1/AG111+AN111/100/AP111))*BV111*AW111</f>
        <v>0</v>
      </c>
      <c r="BY111" s="96">
        <f ca="1">ABS(-AW111*AP111/((AP111/AG111+AN111/100)^2))*(BO111*AN111/100)</f>
        <v>1.1649408284023667E-2</v>
      </c>
      <c r="BZ111" s="202">
        <f ca="1">ABS(AW111*AN111/100/(1/AG111*AP111+AN111/100)^2)*(BR111*AP111)</f>
        <v>1.7474112426035505E-2</v>
      </c>
      <c r="CA111" s="103">
        <f t="shared" ca="1" si="32"/>
        <v>2.2528883416535951E-2</v>
      </c>
      <c r="CB111" s="37">
        <f t="shared" ca="1" si="11"/>
        <v>4.0384615384615373E-2</v>
      </c>
      <c r="CC111" s="37">
        <f t="shared" ca="1" si="12"/>
        <v>0</v>
      </c>
      <c r="CD111" s="37">
        <f t="shared" ca="1" si="13"/>
        <v>5.7692307692307682E-2</v>
      </c>
      <c r="CE111" s="37">
        <f t="shared" ca="1" si="14"/>
        <v>8.653846153846155E-2</v>
      </c>
      <c r="CF111" s="13">
        <f t="shared" ca="1" si="15"/>
        <v>0.11157161311046374</v>
      </c>
      <c r="CG111" s="101">
        <f ca="1">AG111</f>
        <v>1.5</v>
      </c>
      <c r="CH111" s="101">
        <f>AW111</f>
        <v>1</v>
      </c>
      <c r="CI111" s="203">
        <f>IF(CH111&gt;0,AN111,0)</f>
        <v>15</v>
      </c>
      <c r="CJ111" s="102">
        <f>IF(AND(CH111&gt;0,CI111&gt;0),AP111,0)</f>
        <v>3.5000000000000003E-2</v>
      </c>
      <c r="CK111" s="102">
        <f ca="1">BB111</f>
        <v>0.20192307692307693</v>
      </c>
      <c r="CL111" s="37">
        <f t="shared" ca="1" si="16"/>
        <v>0.3</v>
      </c>
      <c r="CM111" s="37">
        <f t="shared" ca="1" si="17"/>
        <v>0</v>
      </c>
      <c r="CN111" s="37">
        <f t="shared" ca="1" si="18"/>
        <v>6.6666666666666666E-2</v>
      </c>
      <c r="CO111" s="37">
        <f t="shared" ca="1" si="19"/>
        <v>0.1</v>
      </c>
      <c r="CP111" s="37">
        <f t="shared" ca="1" si="20"/>
        <v>0.11157161311046374</v>
      </c>
      <c r="CQ111" s="95">
        <f t="shared" ca="1" si="21"/>
        <v>0.44999999999999996</v>
      </c>
      <c r="CR111" s="95">
        <f t="shared" ca="1" si="22"/>
        <v>0</v>
      </c>
      <c r="CS111" s="95">
        <f t="shared" ca="1" si="23"/>
        <v>1</v>
      </c>
      <c r="CT111" s="103">
        <f t="shared" ca="1" si="24"/>
        <v>3.5000000000000005E-3</v>
      </c>
      <c r="CU111" s="95">
        <f t="shared" ca="1" si="25"/>
        <v>2.2528883416535948E-2</v>
      </c>
      <c r="CV111" s="37">
        <f ca="1">$CB111^2/$CF111^2</f>
        <v>0.1310160427807486</v>
      </c>
      <c r="CW111" s="37">
        <f ca="1">$CD111^2/$CF111^2</f>
        <v>0.26737967914438499</v>
      </c>
      <c r="CX111" s="37">
        <f ca="1">$CE111^2/$CF111^2</f>
        <v>0.60160427807486661</v>
      </c>
      <c r="CY111" s="37">
        <f ca="1">$CC111^2/$CF111^2</f>
        <v>0</v>
      </c>
      <c r="DA111" s="98" t="s">
        <v>456</v>
      </c>
      <c r="DB111" s="35">
        <f ca="1">OFFSET($A$1,ROW(DB111)-1,MATCH(DA111,$1:$1,0)-1)</f>
        <v>1</v>
      </c>
      <c r="DC111" s="9">
        <f ca="1">BB111</f>
        <v>0.20192307692307693</v>
      </c>
      <c r="DD111" s="9">
        <f ca="1">$DC111+$CA111</f>
        <v>0.22445196033961287</v>
      </c>
      <c r="DE111" s="9">
        <f ca="1">$DC111-$CA111</f>
        <v>0.17939419350654098</v>
      </c>
      <c r="DF111" s="10">
        <f t="shared" ca="1" si="26"/>
        <v>0.11157161311046372</v>
      </c>
    </row>
    <row r="112" spans="1:110" s="8" customFormat="1" ht="32.4" customHeight="1">
      <c r="A112" s="206" t="s">
        <v>558</v>
      </c>
      <c r="B112" s="208" t="s">
        <v>2340</v>
      </c>
      <c r="C112" s="206" t="s">
        <v>84</v>
      </c>
      <c r="D112" s="206"/>
      <c r="E112" s="206"/>
      <c r="F112" s="206"/>
      <c r="G112" s="206" t="s">
        <v>2170</v>
      </c>
      <c r="H112" s="206" t="s">
        <v>2171</v>
      </c>
      <c r="I112" s="156" t="s">
        <v>80</v>
      </c>
      <c r="J112" s="156" t="s">
        <v>134</v>
      </c>
      <c r="K112" s="156" t="s">
        <v>155</v>
      </c>
      <c r="L112" s="156" t="s">
        <v>68</v>
      </c>
      <c r="M112" s="156" t="s">
        <v>188</v>
      </c>
      <c r="N112" s="7">
        <v>1925</v>
      </c>
      <c r="O112" s="156">
        <v>1</v>
      </c>
      <c r="P112" s="156">
        <v>0</v>
      </c>
      <c r="Q112" s="156" t="s">
        <v>435</v>
      </c>
      <c r="R112" s="156" t="s">
        <v>58</v>
      </c>
      <c r="S112" s="19">
        <v>15</v>
      </c>
      <c r="T112" s="19">
        <v>1</v>
      </c>
      <c r="U112" s="19">
        <v>2016</v>
      </c>
      <c r="V112" s="19">
        <v>3.5000000000000003E-2</v>
      </c>
      <c r="W112" s="28" t="s">
        <v>59</v>
      </c>
      <c r="X112" s="19" t="e">
        <v>#N/A</v>
      </c>
      <c r="Y112" s="105">
        <f ca="1">IFERROR(OFFSET(Tab.Const.ConstrBorder!$A$1,MATCH(Q112,Tab.Const.ConstrBorder!$A:$A,0)-1,MATCH(Y$87,Tab.Const.ConstrBorder!$1:$1,0)-1),0)</f>
        <v>0</v>
      </c>
      <c r="Z112" s="18">
        <f t="shared" si="27"/>
        <v>1925</v>
      </c>
      <c r="AA112" s="17">
        <f>MATCH(Z112,Tab.Year.Period!$11:$11,1)-3</f>
        <v>3</v>
      </c>
      <c r="AB112" s="17">
        <f>MATCH(AB$88&amp;"."&amp;TEXT(AA112,"00"),Tab.U.Default!$A:$A,0)</f>
        <v>26</v>
      </c>
      <c r="AC112" s="105">
        <f ca="1">OFFSET(Tab.U.Default!$A$1,$AB112-1,MATCH("U_Class_"&amp;IF($J112="TopCeiling","UpperCeiling",$J112)&amp;"_"&amp;AC$87,Tab.U.Default!$1:$1,0)-1)</f>
        <v>1.5</v>
      </c>
      <c r="AD112" s="105">
        <f ca="1">OFFSET(Tab.U.Default!$A$1,$AB112-1,MATCH("U_Class_"&amp;IF($J112="TopCeiling","UpperCeiling",$J112)&amp;"_"&amp;AD$87,Tab.U.Default!$1:$1,0)-1)</f>
        <v>1.5</v>
      </c>
      <c r="AE112" s="105">
        <f ca="1">OFFSET(Tab.U.Default!$A$1,$AB112-1,MATCH("U_Class_"&amp;IF($J112="TopCeiling","UpperCeiling",$J112)&amp;"_"&amp;AE$87,Tab.U.Default!$1:$1,0)-1)</f>
        <v>1.5</v>
      </c>
      <c r="AF112" s="26">
        <f t="shared" ca="1" si="0"/>
        <v>1.5</v>
      </c>
      <c r="AG112" s="26">
        <f t="shared" ca="1" si="1"/>
        <v>1.5</v>
      </c>
      <c r="AH112" s="18" t="str">
        <f t="shared" si="2"/>
        <v>Refurbish</v>
      </c>
      <c r="AI112" s="18" t="str">
        <f t="shared" si="28"/>
        <v>Add</v>
      </c>
      <c r="AJ112" s="18">
        <f t="shared" si="3"/>
        <v>2016</v>
      </c>
      <c r="AK112" s="17">
        <f>MATCH(AJ112,Tab.Year.Period!$11:$11,1)-3</f>
        <v>12</v>
      </c>
      <c r="AL112" s="17">
        <f>MATCH(AL$88&amp;"."&amp;TEXT(AK112,"00"),Tab.Insulation.Default!$A:$A,0)</f>
        <v>23</v>
      </c>
      <c r="AM112" s="20" t="e">
        <f ca="1">IF(ISNA(IF(S112="",#N/A,S112)),OFFSET(Tab.Insulation.Default!$A$1,$AL112-1,MATCH(AM$87&amp;"_"&amp;$K112,Tab.Insulation.Default!$1:$1,0)-1),#N/A)</f>
        <v>#N/A</v>
      </c>
      <c r="AN112" s="27">
        <f t="shared" si="29"/>
        <v>15</v>
      </c>
      <c r="AO112" s="22" t="e">
        <f ca="1">IF(ISNA(IF(V112="",#N/A,V112)),OFFSET(Tab.Insulation.Default!$A$1,$AL112-1,MATCH(AO$87&amp;"_"&amp;$K112,Tab.Insulation.Default!$1:$1,0)-1),#N/A)</f>
        <v>#N/A</v>
      </c>
      <c r="AP112" s="23">
        <f t="shared" si="30"/>
        <v>3.5000000000000003E-2</v>
      </c>
      <c r="AQ112" s="29" t="str">
        <f t="shared" si="4"/>
        <v>Gen.Refurbished.12</v>
      </c>
      <c r="AR112" s="17">
        <f>MATCH(AR$88&amp;"."&amp;AQ112,Tab.Measure.f.Default!$A:$A,0)</f>
        <v>23</v>
      </c>
      <c r="AS112" s="21">
        <f ca="1">OFFSET(Tab.Measure.f.Default!$A$1,AR112-1,MATCH(AS$87&amp;"_"&amp;$J112,Tab.Measure.f.Default!$1:$1,0)-1)</f>
        <v>0.75</v>
      </c>
      <c r="AT112" s="29" t="str">
        <f t="shared" si="5"/>
        <v>MUH.NA.03</v>
      </c>
      <c r="AU112" s="17">
        <f>MATCH(AU$88&amp;"."&amp;AT112,Tab.Measure.f.Default!$A:$A,0)</f>
        <v>38</v>
      </c>
      <c r="AV112" s="21">
        <f ca="1">OFFSET(Tab.Measure.f.Default!$A$1,AU112-1,MATCH(AV$87&amp;"_"&amp;$J112,Tab.Measure.f.Default!$1:$1,0)-1)</f>
        <v>0.37</v>
      </c>
      <c r="AW112" s="30">
        <f t="shared" si="33"/>
        <v>1</v>
      </c>
      <c r="AX112" s="9">
        <f t="shared" ca="1" si="6"/>
        <v>0.66666666666666663</v>
      </c>
      <c r="AY112" s="9">
        <f t="shared" si="7"/>
        <v>4.2857142857142856</v>
      </c>
      <c r="AZ112" s="9">
        <f t="shared" ca="1" si="34"/>
        <v>4.9523809523809526</v>
      </c>
      <c r="BA112" s="9">
        <f t="shared" ca="1" si="35"/>
        <v>0.20192307692307693</v>
      </c>
      <c r="BB112" s="9">
        <f t="shared" ca="1" si="8"/>
        <v>0.20192307692307693</v>
      </c>
      <c r="BC112" s="32" t="str">
        <f t="shared" si="9"/>
        <v>D</v>
      </c>
      <c r="BD112" s="20" t="str">
        <f ca="1">OFFSET(Tab.Uncertainty.Levels!$A$1,MATCH(BD$88,Tab.Uncertainty.Levels!$A:$A,0)-1,MATCH(BD$87&amp;"_"&amp;BC112,Tab.Uncertainty.Levels!$1:$1,0)-1)</f>
        <v>Use of default values; building constructed until 1983</v>
      </c>
      <c r="BE112" s="24">
        <f ca="1">OFFSET(Tab.Uncertainty.Levels!$A$1,MATCH(BE$88,Tab.Uncertainty.Levels!$A:$A,0)-1,MATCH(BE$87&amp;"_"&amp;BC112,Tab.Uncertainty.Levels!$1:$1,0)-1)</f>
        <v>0.3</v>
      </c>
      <c r="BF112" s="32" t="str">
        <f t="shared" si="10"/>
        <v>-</v>
      </c>
      <c r="BG112" s="20" t="e">
        <f ca="1">OFFSET(Tab.Uncertainty.Levels!$A$1,MATCH(BG$88,Tab.Uncertainty.Levels!$A:$A,0)-1,MATCH(BG$87&amp;"_"&amp;BF112,Tab.Uncertainty.Levels!$1:$1,0)-1)</f>
        <v>#N/A</v>
      </c>
      <c r="BH112" s="24" t="e">
        <f ca="1">OFFSET(Tab.Uncertainty.Levels!$A$1,MATCH(BH$88,Tab.Uncertainty.Levels!$A:$A,0)-1,MATCH(BH$87&amp;"_"&amp;BF112,Tab.Uncertainty.Levels!$1:$1,0)-1)</f>
        <v>#N/A</v>
      </c>
      <c r="BI112" s="32" t="str">
        <f t="shared" si="31"/>
        <v>D</v>
      </c>
      <c r="BJ112" s="13">
        <f ca="1">IF(BF112="-",BE112,BH112)</f>
        <v>0.3</v>
      </c>
      <c r="BK112" s="32" t="str">
        <f>IF(OR($L112="NoDataSource",IFERROR(IF($S112="",#N/A,$S112),0)=0),IF(IFERROR(IF(U112="",#N/A,U112),0)=0,"E","D"),IF($L112="DesignDataPlusQA","A",IF($L112="DesignData","B","C")))</f>
        <v>A</v>
      </c>
      <c r="BL112" s="20" t="str">
        <f ca="1">OFFSET(Tab.Uncertainty.Levels!$A$1,MATCH(BL$88,Tab.Uncertainty.Levels!$A:$A,0)-1,MATCH(BL$87&amp;"_"&amp;BK112,Tab.Uncertainty.Levels!$1:$1,0)-1)</f>
        <v>Insulation thickness from design data, quality assured</v>
      </c>
      <c r="BM112" s="24">
        <f ca="1">OFFSET(Tab.Uncertainty.Levels!$A$1,MATCH(BM$88,Tab.Uncertainty.Levels!$A:$A,0)-1,MATCH(BM$87&amp;"_"&amp;BK112,Tab.Uncertainty.Levels!$1:$1,0)-1)</f>
        <v>0.05</v>
      </c>
      <c r="BN112" s="34">
        <f ca="1">OFFSET(Tab.Uncertainty.Levels!$A$1,MATCH(BN$88,Tab.Uncertainty.Levels!$A:$A,0)-1,MATCH(BN$87&amp;"_"&amp;BK112,Tab.Uncertainty.Levels!$1:$1,0)-1)</f>
        <v>0.5</v>
      </c>
      <c r="BO112" s="13">
        <f ca="1">IFERROR(MIN(BM112,BN112/AN112),0)</f>
        <v>3.3333333333333333E-2</v>
      </c>
      <c r="BP112" s="32" t="str">
        <f>IF(OR($L112="NoDataSource",IFERROR(IF($V112="",#N/A,$V112),0)=0),IF(IFERROR(IF(U112="",#N/A,U112),0)=0,"E","D"),IF($L112="DesignDataPlusQA","A",IF($L112="DesignData","B","C")))</f>
        <v>A</v>
      </c>
      <c r="BQ112" s="20" t="str">
        <f ca="1">OFFSET(Tab.Uncertainty.Levels!$A$1,MATCH(BQ$88,Tab.Uncertainty.Levels!$A:$A,0)-1,MATCH(BQ$87&amp;"_"&amp;BP112,Tab.Uncertainty.Levels!$1:$1,0)-1)</f>
        <v>Thermal conductivity of insulation from design data, quality assured</v>
      </c>
      <c r="BR112" s="97">
        <f ca="1">OFFSET(Tab.Uncertainty.Levels!$A$1,MATCH(BR$88,Tab.Uncertainty.Levels!$A:$A,0)-1,MATCH(BR$87&amp;"_"&amp;BP112,Tab.Uncertainty.Levels!$1:$1,0)-1)</f>
        <v>0.05</v>
      </c>
      <c r="BS112" s="32" t="str">
        <f>IF(L112="NoDataSource","D",IF(IFERROR(IF($T112="",#N/A,$T112),0)=0,IF(OR(IFERROR(IF($S112="",#N/A,$S112),0)&gt;0,$R112="Refurbish"),"D","E"),IF($L112="DesignDataPlusQA","A",IF($L112="DesignData","B","C"))))</f>
        <v>A</v>
      </c>
      <c r="BT112" s="20" t="str">
        <f ca="1">OFFSET(Tab.Uncertainty.Levels!$A$1,MATCH(BT$88,Tab.Uncertainty.Levels!$A:$A,0)-1,MATCH(BT$87&amp;"_"&amp;BS112,Tab.Uncertainty.Levels!$1:$1,0)-1)</f>
        <v>Insulation fraction from design data, quality assured</v>
      </c>
      <c r="BU112" s="33">
        <f ca="1">OFFSET(Tab.Uncertainty.Levels!$A$1,MATCH(BU$88,Tab.Uncertainty.Levels!$A:$A,0)-1,MATCH(BU$87&amp;"_"&amp;BS112,Tab.Uncertainty.Levels!$1:$1,0)-1)</f>
        <v>0.05</v>
      </c>
      <c r="BV112" s="13">
        <f ca="1">IFERROR(MIN(BU112/AW112,1,(1-AW112)/AW112),0)</f>
        <v>0</v>
      </c>
      <c r="BW112" s="96">
        <f ca="1">ABS(1+(AW112*(1/(1+AN112/100/AP112*AG112)^2-1)))*BJ112*$AG112</f>
        <v>8.1545857988165656E-3</v>
      </c>
      <c r="BX112" s="96">
        <f ca="1">ABS(-AG112+1/(1/AG112+AN112/100/AP112))*BV112*AW112</f>
        <v>0</v>
      </c>
      <c r="BY112" s="96">
        <f ca="1">ABS(-AW112*AP112/((AP112/AG112+AN112/100)^2))*(BO112*AN112/100)</f>
        <v>5.8247041420118337E-3</v>
      </c>
      <c r="BZ112" s="202">
        <f ca="1">ABS(AW112*AN112/100/(1/AG112*AP112+AN112/100)^2)*(BR112*AP112)</f>
        <v>8.7370562130177527E-3</v>
      </c>
      <c r="CA112" s="103">
        <f t="shared" ca="1" si="32"/>
        <v>1.3295134416833203E-2</v>
      </c>
      <c r="CB112" s="37">
        <f t="shared" ca="1" si="11"/>
        <v>4.0384615384615373E-2</v>
      </c>
      <c r="CC112" s="37">
        <f t="shared" ca="1" si="12"/>
        <v>0</v>
      </c>
      <c r="CD112" s="37">
        <f t="shared" ca="1" si="13"/>
        <v>2.8846153846153841E-2</v>
      </c>
      <c r="CE112" s="37">
        <f t="shared" ca="1" si="14"/>
        <v>4.3269230769230775E-2</v>
      </c>
      <c r="CF112" s="13">
        <f t="shared" ca="1" si="15"/>
        <v>6.5842570445269186E-2</v>
      </c>
      <c r="CG112" s="101">
        <f ca="1">AG112</f>
        <v>1.5</v>
      </c>
      <c r="CH112" s="101">
        <f>AW112</f>
        <v>1</v>
      </c>
      <c r="CI112" s="203">
        <f>IF(CH112&gt;0,AN112,0)</f>
        <v>15</v>
      </c>
      <c r="CJ112" s="102">
        <f>IF(AND(CH112&gt;0,CI112&gt;0),AP112,0)</f>
        <v>3.5000000000000003E-2</v>
      </c>
      <c r="CK112" s="102">
        <f ca="1">BB112</f>
        <v>0.20192307692307693</v>
      </c>
      <c r="CL112" s="37">
        <f t="shared" ca="1" si="16"/>
        <v>0.3</v>
      </c>
      <c r="CM112" s="37">
        <f t="shared" ca="1" si="17"/>
        <v>0</v>
      </c>
      <c r="CN112" s="37">
        <f t="shared" ca="1" si="18"/>
        <v>3.3333333333333333E-2</v>
      </c>
      <c r="CO112" s="37">
        <f t="shared" ca="1" si="19"/>
        <v>0.05</v>
      </c>
      <c r="CP112" s="37">
        <f t="shared" ca="1" si="20"/>
        <v>6.5842570445269186E-2</v>
      </c>
      <c r="CQ112" s="95">
        <f t="shared" ca="1" si="21"/>
        <v>0.44999999999999996</v>
      </c>
      <c r="CR112" s="95">
        <f t="shared" ca="1" si="22"/>
        <v>0</v>
      </c>
      <c r="CS112" s="95">
        <f t="shared" ca="1" si="23"/>
        <v>0.5</v>
      </c>
      <c r="CT112" s="103">
        <f t="shared" ca="1" si="24"/>
        <v>1.7500000000000003E-3</v>
      </c>
      <c r="CU112" s="95">
        <f t="shared" ca="1" si="25"/>
        <v>1.3295134416833202E-2</v>
      </c>
      <c r="CV112" s="37">
        <f ca="1">$CB112^2/$CF112^2</f>
        <v>0.37619961612284059</v>
      </c>
      <c r="CW112" s="37">
        <f ca="1">$CD112^2/$CF112^2</f>
        <v>0.19193857965451055</v>
      </c>
      <c r="CX112" s="37">
        <f ca="1">$CE112^2/$CF112^2</f>
        <v>0.43186180422264903</v>
      </c>
      <c r="CY112" s="37">
        <f ca="1">$CC112^2/$CF112^2</f>
        <v>0</v>
      </c>
      <c r="DA112" s="98" t="s">
        <v>456</v>
      </c>
      <c r="DB112" s="35">
        <f ca="1">OFFSET($A$1,ROW(DB112)-1,MATCH(DA112,$1:$1,0)-1)</f>
        <v>1</v>
      </c>
      <c r="DC112" s="9">
        <f ca="1">BB112</f>
        <v>0.20192307692307693</v>
      </c>
      <c r="DD112" s="9">
        <f ca="1">$DC112+$CA112</f>
        <v>0.21521821133991012</v>
      </c>
      <c r="DE112" s="9">
        <f ca="1">$DC112-$CA112</f>
        <v>0.18862794250624373</v>
      </c>
      <c r="DF112" s="10">
        <f t="shared" ca="1" si="26"/>
        <v>6.5842570445269144E-2</v>
      </c>
    </row>
    <row r="113" spans="1:110" s="8" customFormat="1" ht="32.4" customHeight="1">
      <c r="A113" s="206" t="s">
        <v>559</v>
      </c>
      <c r="B113" s="208" t="s">
        <v>2340</v>
      </c>
      <c r="C113" s="206" t="s">
        <v>187</v>
      </c>
      <c r="D113" s="206"/>
      <c r="E113" s="206"/>
      <c r="F113" s="206"/>
      <c r="G113" s="206" t="s">
        <v>2170</v>
      </c>
      <c r="H113" s="206" t="s">
        <v>2172</v>
      </c>
      <c r="I113" s="156" t="s">
        <v>80</v>
      </c>
      <c r="J113" s="156" t="s">
        <v>134</v>
      </c>
      <c r="K113" s="156" t="s">
        <v>155</v>
      </c>
      <c r="L113" s="156" t="s">
        <v>68</v>
      </c>
      <c r="M113" s="156" t="s">
        <v>189</v>
      </c>
      <c r="N113" s="7">
        <v>2016</v>
      </c>
      <c r="O113" s="156" t="e">
        <v>#N/A</v>
      </c>
      <c r="P113" s="156" t="e">
        <v>#N/A</v>
      </c>
      <c r="Q113" s="156" t="s">
        <v>435</v>
      </c>
      <c r="R113" s="156" t="s">
        <v>41</v>
      </c>
      <c r="S113" s="19">
        <v>0</v>
      </c>
      <c r="T113" s="19">
        <v>0</v>
      </c>
      <c r="U113" s="19" t="e">
        <v>#N/A</v>
      </c>
      <c r="V113" s="19" t="e">
        <v>#N/A</v>
      </c>
      <c r="W113" s="28" t="s">
        <v>41</v>
      </c>
      <c r="X113" s="19">
        <v>0.18</v>
      </c>
      <c r="Y113" s="105">
        <f ca="1">IFERROR(OFFSET(Tab.Const.ConstrBorder!$A$1,MATCH(Q113,Tab.Const.ConstrBorder!$A:$A,0)-1,MATCH(Y$87,Tab.Const.ConstrBorder!$1:$1,0)-1),0)</f>
        <v>0</v>
      </c>
      <c r="Z113" s="18">
        <f t="shared" si="27"/>
        <v>2016</v>
      </c>
      <c r="AA113" s="17">
        <f>MATCH(Z113,Tab.Year.Period!$11:$11,1)-3</f>
        <v>12</v>
      </c>
      <c r="AB113" s="17">
        <f>MATCH(AB$88&amp;"."&amp;TEXT(AA113,"00"),Tab.U.Default!$A:$A,0)</f>
        <v>35</v>
      </c>
      <c r="AC113" s="105">
        <f ca="1">OFFSET(Tab.U.Default!$A$1,$AB113-1,MATCH("U_Class_"&amp;IF($J113="TopCeiling","UpperCeiling",$J113)&amp;"_"&amp;AC$87,Tab.U.Default!$1:$1,0)-1)</f>
        <v>0.18</v>
      </c>
      <c r="AD113" s="105">
        <f ca="1">OFFSET(Tab.U.Default!$A$1,$AB113-1,MATCH("U_Class_"&amp;IF($J113="TopCeiling","UpperCeiling",$J113)&amp;"_"&amp;AD$87,Tab.U.Default!$1:$1,0)-1)</f>
        <v>0.18</v>
      </c>
      <c r="AE113" s="105">
        <f ca="1">OFFSET(Tab.U.Default!$A$1,$AB113-1,MATCH("U_Class_"&amp;IF($J113="TopCeiling","UpperCeiling",$J113)&amp;"_"&amp;AE$87,Tab.U.Default!$1:$1,0)-1)</f>
        <v>0.18</v>
      </c>
      <c r="AF113" s="26">
        <f t="shared" si="0"/>
        <v>0.18</v>
      </c>
      <c r="AG113" s="26">
        <f t="shared" ca="1" si="1"/>
        <v>0.18</v>
      </c>
      <c r="AH113" s="18" t="str">
        <f t="shared" si="2"/>
        <v>Original</v>
      </c>
      <c r="AI113" s="18" t="str">
        <f t="shared" si="28"/>
        <v>Add</v>
      </c>
      <c r="AJ113" s="18">
        <f t="shared" si="3"/>
        <v>2016</v>
      </c>
      <c r="AK113" s="17">
        <f>MATCH(AJ113,Tab.Year.Period!$11:$11,1)-3</f>
        <v>12</v>
      </c>
      <c r="AL113" s="17">
        <f>MATCH(AL$88&amp;"."&amp;TEXT(AK113,"00"),Tab.Insulation.Default!$A:$A,0)</f>
        <v>23</v>
      </c>
      <c r="AM113" s="20" t="e">
        <f ca="1">IF(ISNA(IF(S113="",#N/A,S113)),OFFSET(Tab.Insulation.Default!$A$1,$AL113-1,MATCH(AM$87&amp;"_"&amp;$K113,Tab.Insulation.Default!$1:$1,0)-1),#N/A)</f>
        <v>#N/A</v>
      </c>
      <c r="AN113" s="27">
        <f t="shared" si="29"/>
        <v>0</v>
      </c>
      <c r="AO113" s="22">
        <f ca="1">IF(ISNA(IF(V113="",#N/A,V113)),OFFSET(Tab.Insulation.Default!$A$1,$AL113-1,MATCH(AO$87&amp;"_"&amp;$K113,Tab.Insulation.Default!$1:$1,0)-1),#N/A)</f>
        <v>3.5000000000000003E-2</v>
      </c>
      <c r="AP113" s="23">
        <f t="shared" ca="1" si="30"/>
        <v>3.5000000000000003E-2</v>
      </c>
      <c r="AQ113" s="29" t="str">
        <f t="shared" si="4"/>
        <v>Gen.Refurbished.12</v>
      </c>
      <c r="AR113" s="17">
        <f>MATCH(AR$88&amp;"."&amp;AQ113,Tab.Measure.f.Default!$A:$A,0)</f>
        <v>23</v>
      </c>
      <c r="AS113" s="21">
        <f ca="1">OFFSET(Tab.Measure.f.Default!$A$1,AR113-1,MATCH(AS$87&amp;"_"&amp;$J113,Tab.Measure.f.Default!$1:$1,0)-1)</f>
        <v>0.75</v>
      </c>
      <c r="AT113" s="29" t="str">
        <f t="shared" si="5"/>
        <v>MUH.NA.12</v>
      </c>
      <c r="AU113" s="17">
        <f>MATCH(AU$88&amp;"."&amp;AT113,Tab.Measure.f.Default!$A:$A,0)</f>
        <v>47</v>
      </c>
      <c r="AV113" s="21">
        <f ca="1">OFFSET(Tab.Measure.f.Default!$A$1,AU113-1,MATCH(AV$87&amp;"_"&amp;$J113,Tab.Measure.f.Default!$1:$1,0)-1)</f>
        <v>0</v>
      </c>
      <c r="AW113" s="30">
        <f t="shared" si="33"/>
        <v>0</v>
      </c>
      <c r="AX113" s="9">
        <f t="shared" ca="1" si="6"/>
        <v>5.5555555555555554</v>
      </c>
      <c r="AY113" s="9">
        <f t="shared" si="7"/>
        <v>0</v>
      </c>
      <c r="AZ113" s="9">
        <f ca="1">AX113+AY113</f>
        <v>5.5555555555555554</v>
      </c>
      <c r="BA113" s="9">
        <f ca="1">1/AZ113</f>
        <v>0.18</v>
      </c>
      <c r="BB113" s="9">
        <f t="shared" ca="1" si="8"/>
        <v>0.18</v>
      </c>
      <c r="BC113" s="32" t="str">
        <f t="shared" si="9"/>
        <v>B</v>
      </c>
      <c r="BD113" s="20" t="str">
        <f ca="1">OFFSET(Tab.Uncertainty.Levels!$A$1,MATCH(BD$88,Tab.Uncertainty.Levels!$A:$A,0)-1,MATCH(BD$87&amp;"_"&amp;BC113,Tab.Uncertainty.Levels!$1:$1,0)-1)</f>
        <v>Use of default values; building constructed from 1995</v>
      </c>
      <c r="BE113" s="24">
        <f ca="1">OFFSET(Tab.Uncertainty.Levels!$A$1,MATCH(BE$88,Tab.Uncertainty.Levels!$A:$A,0)-1,MATCH(BE$87&amp;"_"&amp;BC113,Tab.Uncertainty.Levels!$1:$1,0)-1)</f>
        <v>0.2</v>
      </c>
      <c r="BF113" s="32" t="str">
        <f t="shared" si="10"/>
        <v>A</v>
      </c>
      <c r="BG113" s="20" t="str">
        <f ca="1">OFFSET(Tab.Uncertainty.Levels!$A$1,MATCH(BG$88,Tab.Uncertainty.Levels!$A:$A,0)-1,MATCH(BG$87&amp;"_"&amp;BF113,Tab.Uncertainty.Levels!$1:$1,0)-1)</f>
        <v>Pre-calculated U-value, taking into account the different layers of actually used materials; thickness, thermal conductivity and area fraction of layers from design data; quality assured</v>
      </c>
      <c r="BH113" s="24">
        <f ca="1">OFFSET(Tab.Uncertainty.Levels!$A$1,MATCH(BH$88,Tab.Uncertainty.Levels!$A:$A,0)-1,MATCH(BH$87&amp;"_"&amp;BF113,Tab.Uncertainty.Levels!$1:$1,0)-1)</f>
        <v>0.05</v>
      </c>
      <c r="BI113" s="32" t="str">
        <f t="shared" si="31"/>
        <v>A</v>
      </c>
      <c r="BJ113" s="13">
        <f ca="1">IF(BF113="-",BE113,BH113)</f>
        <v>0.05</v>
      </c>
      <c r="BK113" s="32" t="str">
        <f>IF(OR($L113="NoDataSource",IFERROR(IF($S113="",#N/A,$S113),0)=0),IF(IFERROR(IF(U113="",#N/A,U113),0)=0,"E","D"),IF($L113="DesignDataPlusQA","A",IF($L113="DesignData","B","C")))</f>
        <v>E</v>
      </c>
      <c r="BL113" s="20" t="str">
        <f ca="1">OFFSET(Tab.Uncertainty.Levels!$A$1,MATCH(BL$88,Tab.Uncertainty.Levels!$A:$A,0)-1,MATCH(BL$87&amp;"_"&amp;BK113,Tab.Uncertainty.Levels!$1:$1,0)-1)</f>
        <v>Insulation available; insulation thickness and year of implementation unknown</v>
      </c>
      <c r="BM113" s="24">
        <f ca="1">OFFSET(Tab.Uncertainty.Levels!$A$1,MATCH(BM$88,Tab.Uncertainty.Levels!$A:$A,0)-1,MATCH(BM$87&amp;"_"&amp;BK113,Tab.Uncertainty.Levels!$1:$1,0)-1)</f>
        <v>0.5</v>
      </c>
      <c r="BN113" s="34">
        <f ca="1">OFFSET(Tab.Uncertainty.Levels!$A$1,MATCH(BN$88,Tab.Uncertainty.Levels!$A:$A,0)-1,MATCH(BN$87&amp;"_"&amp;BK113,Tab.Uncertainty.Levels!$1:$1,0)-1)</f>
        <v>8</v>
      </c>
      <c r="BO113" s="13">
        <f ca="1">IFERROR(MIN(BM113,BN113/AN113),0)</f>
        <v>0</v>
      </c>
      <c r="BP113" s="32" t="str">
        <f>IF(OR($L113="NoDataSource",IFERROR(IF($V113="",#N/A,$V113),0)=0),IF(IFERROR(IF(U113="",#N/A,U113),0)=0,"E","D"),IF($L113="DesignDataPlusQA","A",IF($L113="DesignData","B","C")))</f>
        <v>E</v>
      </c>
      <c r="BQ113" s="20" t="str">
        <f ca="1">OFFSET(Tab.Uncertainty.Levels!$A$1,MATCH(BQ$88,Tab.Uncertainty.Levels!$A:$A,0)-1,MATCH(BQ$87&amp;"_"&amp;BP113,Tab.Uncertainty.Levels!$1:$1,0)-1)</f>
        <v>Insulation available; no information about material and year of implementation</v>
      </c>
      <c r="BR113" s="97">
        <f ca="1">OFFSET(Tab.Uncertainty.Levels!$A$1,MATCH(BR$88,Tab.Uncertainty.Levels!$A:$A,0)-1,MATCH(BR$87&amp;"_"&amp;BP113,Tab.Uncertainty.Levels!$1:$1,0)-1)</f>
        <v>0.3</v>
      </c>
      <c r="BS113" s="32" t="str">
        <f>IF(L113="NoDataSource","D",IF(IFERROR(IF($T113="",#N/A,$T113),0)=0,IF(OR(IFERROR(IF($S113="",#N/A,$S113),0)&gt;0,$R113="Refurbish"),"D","E"),IF($L113="DesignDataPlusQA","A",IF($L113="DesignData","B","C"))))</f>
        <v>E</v>
      </c>
      <c r="BT113" s="20" t="str">
        <f ca="1">OFFSET(Tab.Uncertainty.Levels!$A$1,MATCH(BT$88,Tab.Uncertainty.Levels!$A:$A,0)-1,MATCH(BT$87&amp;"_"&amp;BS113,Tab.Uncertainty.Levels!$1:$1,0)-1)</f>
        <v>Unknown if insulation has been applied (default fraction value is the average insulation fraction for all buildings)</v>
      </c>
      <c r="BU113" s="33">
        <f ca="1">OFFSET(Tab.Uncertainty.Levels!$A$1,MATCH(BU$88,Tab.Uncertainty.Levels!$A:$A,0)-1,MATCH(BU$87&amp;"_"&amp;BS113,Tab.Uncertainty.Levels!$1:$1,0)-1)</f>
        <v>0.5</v>
      </c>
      <c r="BV113" s="13">
        <f ca="1">IFERROR(MIN(BU113/AW113,1,(1-AW113)/AW113),0)</f>
        <v>0</v>
      </c>
      <c r="BW113" s="96">
        <f ca="1">ABS(1+(AW113*(1/(1+AN113/100/AP113*AG113)^2-1)))*BJ113*$AG113</f>
        <v>8.9999999999999993E-3</v>
      </c>
      <c r="BX113" s="96">
        <f ca="1">ABS(-AG113+1/(1/AG113+AN113/100/AP113))*BV113*AW113</f>
        <v>0</v>
      </c>
      <c r="BY113" s="96">
        <f ca="1">ABS(-AW113*AP113/((AP113/AG113+AN113/100)^2))*(BO113*AN113/100)</f>
        <v>0</v>
      </c>
      <c r="BZ113" s="202">
        <f ca="1">ABS(AW113*AN113/100/(1/AG113*AP113+AN113/100)^2)*(BR113*AP113)</f>
        <v>0</v>
      </c>
      <c r="CA113" s="103">
        <f t="shared" ca="1" si="32"/>
        <v>8.9999999999999993E-3</v>
      </c>
      <c r="CB113" s="37">
        <f t="shared" ca="1" si="11"/>
        <v>4.9999999999999996E-2</v>
      </c>
      <c r="CC113" s="37">
        <f t="shared" ca="1" si="12"/>
        <v>0</v>
      </c>
      <c r="CD113" s="37">
        <f t="shared" ca="1" si="13"/>
        <v>0</v>
      </c>
      <c r="CE113" s="37">
        <f t="shared" ca="1" si="14"/>
        <v>0</v>
      </c>
      <c r="CF113" s="13">
        <f t="shared" ca="1" si="15"/>
        <v>4.9999999999999996E-2</v>
      </c>
      <c r="CG113" s="101">
        <f ca="1">AG113</f>
        <v>0.18</v>
      </c>
      <c r="CH113" s="101">
        <f>AW113</f>
        <v>0</v>
      </c>
      <c r="CI113" s="203">
        <f>IF(CH113&gt;0,AN113,0)</f>
        <v>0</v>
      </c>
      <c r="CJ113" s="102">
        <f>IF(AND(CH113&gt;0,CI113&gt;0),AP113,0)</f>
        <v>0</v>
      </c>
      <c r="CK113" s="102">
        <f ca="1">BB113</f>
        <v>0.18</v>
      </c>
      <c r="CL113" s="37">
        <f t="shared" ca="1" si="16"/>
        <v>0.05</v>
      </c>
      <c r="CM113" s="37">
        <f t="shared" ca="1" si="17"/>
        <v>0</v>
      </c>
      <c r="CN113" s="37">
        <f t="shared" ca="1" si="18"/>
        <v>0</v>
      </c>
      <c r="CO113" s="37">
        <f t="shared" ca="1" si="19"/>
        <v>0.3</v>
      </c>
      <c r="CP113" s="37">
        <f t="shared" ca="1" si="20"/>
        <v>4.9999999999999996E-2</v>
      </c>
      <c r="CQ113" s="95">
        <f t="shared" ca="1" si="21"/>
        <v>8.9999999999999993E-3</v>
      </c>
      <c r="CR113" s="95">
        <f t="shared" ca="1" si="22"/>
        <v>0</v>
      </c>
      <c r="CS113" s="95">
        <f t="shared" ca="1" si="23"/>
        <v>0</v>
      </c>
      <c r="CT113" s="103">
        <f t="shared" ca="1" si="24"/>
        <v>0</v>
      </c>
      <c r="CU113" s="95">
        <f t="shared" ca="1" si="25"/>
        <v>8.9999999999999993E-3</v>
      </c>
      <c r="CV113" s="37">
        <f ca="1">$CB113^2/$CF113^2</f>
        <v>1</v>
      </c>
      <c r="CW113" s="37">
        <f ca="1">$CD113^2/$CF113^2</f>
        <v>0</v>
      </c>
      <c r="CX113" s="37">
        <f ca="1">$CE113^2/$CF113^2</f>
        <v>0</v>
      </c>
      <c r="CY113" s="37">
        <f ca="1">$CC113^2/$CF113^2</f>
        <v>0</v>
      </c>
      <c r="DA113" s="98" t="s">
        <v>456</v>
      </c>
      <c r="DB113" s="35">
        <f ca="1">OFFSET($A$1,ROW(DB113)-1,MATCH(DA113,$1:$1,0)-1)</f>
        <v>0</v>
      </c>
      <c r="DC113" s="9">
        <f ca="1">BB113</f>
        <v>0.18</v>
      </c>
      <c r="DD113" s="9">
        <f ca="1">$DC113+$CA113</f>
        <v>0.189</v>
      </c>
      <c r="DE113" s="9">
        <f ca="1">$DC113-$CA113</f>
        <v>0.17099999999999999</v>
      </c>
      <c r="DF113" s="10">
        <f t="shared" ca="1" si="26"/>
        <v>5.0000000000000044E-2</v>
      </c>
    </row>
    <row r="114" spans="1:110" s="8" customFormat="1" ht="32.4" customHeight="1">
      <c r="A114" s="206" t="s">
        <v>560</v>
      </c>
      <c r="B114" s="209" t="s">
        <v>2341</v>
      </c>
      <c r="C114" s="206" t="str">
        <f>E114&amp;" = "&amp;F114</f>
        <v>Parameter-Variation: f_Measure = 0%</v>
      </c>
      <c r="D114" s="206"/>
      <c r="E114" s="206" t="s">
        <v>197</v>
      </c>
      <c r="F114" s="206" t="str">
        <f t="shared" ref="F114:F124" si="36">TEXT(T114,"0%")</f>
        <v>0%</v>
      </c>
      <c r="G114" s="206" t="s">
        <v>2170</v>
      </c>
      <c r="H114" s="206" t="s">
        <v>2171</v>
      </c>
      <c r="I114" s="156" t="s">
        <v>80</v>
      </c>
      <c r="J114" s="156" t="s">
        <v>134</v>
      </c>
      <c r="K114" s="156" t="s">
        <v>155</v>
      </c>
      <c r="L114" s="156" t="s">
        <v>66</v>
      </c>
      <c r="M114" s="156" t="s">
        <v>188</v>
      </c>
      <c r="N114" s="7">
        <v>1925</v>
      </c>
      <c r="O114" s="156">
        <v>1</v>
      </c>
      <c r="P114" s="156">
        <v>0</v>
      </c>
      <c r="Q114" s="156" t="s">
        <v>440</v>
      </c>
      <c r="R114" s="156" t="s">
        <v>58</v>
      </c>
      <c r="S114" s="19">
        <v>24</v>
      </c>
      <c r="T114" s="19">
        <v>0</v>
      </c>
      <c r="U114" s="19">
        <v>2016</v>
      </c>
      <c r="V114" s="19">
        <v>3.5000000000000003E-2</v>
      </c>
      <c r="W114" s="28" t="s">
        <v>59</v>
      </c>
      <c r="X114" s="19" t="e">
        <v>#N/A</v>
      </c>
      <c r="Y114" s="105">
        <f ca="1">IFERROR(OFFSET(Tab.Const.ConstrBorder!$A$1,MATCH(Q114,Tab.Const.ConstrBorder!$A:$A,0)-1,MATCH(Y$87,Tab.Const.ConstrBorder!$1:$1,0)-1),0)</f>
        <v>0.3</v>
      </c>
      <c r="Z114" s="18">
        <f t="shared" si="27"/>
        <v>1925</v>
      </c>
      <c r="AA114" s="17">
        <f>MATCH(Z114,Tab.Year.Period!$11:$11,1)-3</f>
        <v>3</v>
      </c>
      <c r="AB114" s="17">
        <f>MATCH(AB$88&amp;"."&amp;TEXT(AA114,"00"),Tab.U.Default!$A:$A,0)</f>
        <v>26</v>
      </c>
      <c r="AC114" s="105">
        <f ca="1">OFFSET(Tab.U.Default!$A$1,$AB114-1,MATCH("U_Class_"&amp;IF($J114="TopCeiling","UpperCeiling",$J114)&amp;"_"&amp;AC$87,Tab.U.Default!$1:$1,0)-1)</f>
        <v>1.5</v>
      </c>
      <c r="AD114" s="105">
        <f ca="1">OFFSET(Tab.U.Default!$A$1,$AB114-1,MATCH("U_Class_"&amp;IF($J114="TopCeiling","UpperCeiling",$J114)&amp;"_"&amp;AD$87,Tab.U.Default!$1:$1,0)-1)</f>
        <v>1.5</v>
      </c>
      <c r="AE114" s="105">
        <f ca="1">OFFSET(Tab.U.Default!$A$1,$AB114-1,MATCH("U_Class_"&amp;IF($J114="TopCeiling","UpperCeiling",$J114)&amp;"_"&amp;AE$87,Tab.U.Default!$1:$1,0)-1)</f>
        <v>1.5</v>
      </c>
      <c r="AF114" s="26">
        <f t="shared" ca="1" si="0"/>
        <v>1.5</v>
      </c>
      <c r="AG114" s="26">
        <f t="shared" ca="1" si="1"/>
        <v>1.0344827586206897</v>
      </c>
      <c r="AH114" s="18" t="str">
        <f t="shared" si="2"/>
        <v>Refurbish</v>
      </c>
      <c r="AI114" s="18" t="str">
        <f t="shared" si="28"/>
        <v>Add</v>
      </c>
      <c r="AJ114" s="18">
        <f t="shared" si="3"/>
        <v>2016</v>
      </c>
      <c r="AK114" s="17">
        <f>MATCH(AJ114,Tab.Year.Period!$11:$11,1)-3</f>
        <v>12</v>
      </c>
      <c r="AL114" s="17">
        <f>MATCH(AL$88&amp;"."&amp;TEXT(AK114,"00"),Tab.Insulation.Default!$A:$A,0)</f>
        <v>23</v>
      </c>
      <c r="AM114" s="20" t="e">
        <f ca="1">IF(ISNA(IF(S114="",#N/A,S114)),OFFSET(Tab.Insulation.Default!$A$1,$AL114-1,MATCH(AM$87&amp;"_"&amp;$K114,Tab.Insulation.Default!$1:$1,0)-1),#N/A)</f>
        <v>#N/A</v>
      </c>
      <c r="AN114" s="27">
        <f t="shared" si="29"/>
        <v>24</v>
      </c>
      <c r="AO114" s="22" t="e">
        <f ca="1">IF(ISNA(IF(V114="",#N/A,V114)),OFFSET(Tab.Insulation.Default!$A$1,$AL114-1,MATCH(AO$87&amp;"_"&amp;$K114,Tab.Insulation.Default!$1:$1,0)-1),#N/A)</f>
        <v>#N/A</v>
      </c>
      <c r="AP114" s="23">
        <f t="shared" si="30"/>
        <v>3.5000000000000003E-2</v>
      </c>
      <c r="AQ114" s="29" t="str">
        <f t="shared" si="4"/>
        <v>Gen.Refurbished.12</v>
      </c>
      <c r="AR114" s="17">
        <f>MATCH(AR$88&amp;"."&amp;AQ114,Tab.Measure.f.Default!$A:$A,0)</f>
        <v>23</v>
      </c>
      <c r="AS114" s="21">
        <f ca="1">OFFSET(Tab.Measure.f.Default!$A$1,AR114-1,MATCH(AS$87&amp;"_"&amp;$J114,Tab.Measure.f.Default!$1:$1,0)-1)</f>
        <v>0.75</v>
      </c>
      <c r="AT114" s="29" t="str">
        <f t="shared" si="5"/>
        <v>MUH.NA.03</v>
      </c>
      <c r="AU114" s="17">
        <f>MATCH(AU$88&amp;"."&amp;AT114,Tab.Measure.f.Default!$A:$A,0)</f>
        <v>38</v>
      </c>
      <c r="AV114" s="21">
        <f ca="1">OFFSET(Tab.Measure.f.Default!$A$1,AU114-1,MATCH(AV$87&amp;"_"&amp;$J114,Tab.Measure.f.Default!$1:$1,0)-1)</f>
        <v>0.37</v>
      </c>
      <c r="AW114" s="30">
        <f t="shared" si="33"/>
        <v>0</v>
      </c>
      <c r="AX114" s="9">
        <f t="shared" ca="1" si="6"/>
        <v>0.96666666666666656</v>
      </c>
      <c r="AY114" s="9">
        <f t="shared" si="7"/>
        <v>0</v>
      </c>
      <c r="AZ114" s="9">
        <f ca="1">AX114+AY114</f>
        <v>0.96666666666666656</v>
      </c>
      <c r="BA114" s="9">
        <f ca="1">1/AZ114</f>
        <v>1.0344827586206897</v>
      </c>
      <c r="BB114" s="9">
        <f t="shared" ca="1" si="8"/>
        <v>1.0344827586206897</v>
      </c>
      <c r="BC114" s="32" t="str">
        <f t="shared" si="9"/>
        <v>D</v>
      </c>
      <c r="BD114" s="20" t="str">
        <f ca="1">OFFSET(Tab.Uncertainty.Levels!$A$1,MATCH(BD$88,Tab.Uncertainty.Levels!$A:$A,0)-1,MATCH(BD$87&amp;"_"&amp;BC114,Tab.Uncertainty.Levels!$1:$1,0)-1)</f>
        <v>Use of default values; building constructed until 1983</v>
      </c>
      <c r="BE114" s="24">
        <f ca="1">OFFSET(Tab.Uncertainty.Levels!$A$1,MATCH(BE$88,Tab.Uncertainty.Levels!$A:$A,0)-1,MATCH(BE$87&amp;"_"&amp;BC114,Tab.Uncertainty.Levels!$1:$1,0)-1)</f>
        <v>0.3</v>
      </c>
      <c r="BF114" s="32" t="str">
        <f t="shared" si="10"/>
        <v>-</v>
      </c>
      <c r="BG114" s="20" t="e">
        <f ca="1">OFFSET(Tab.Uncertainty.Levels!$A$1,MATCH(BG$88,Tab.Uncertainty.Levels!$A:$A,0)-1,MATCH(BG$87&amp;"_"&amp;BF114,Tab.Uncertainty.Levels!$1:$1,0)-1)</f>
        <v>#N/A</v>
      </c>
      <c r="BH114" s="24" t="e">
        <f ca="1">OFFSET(Tab.Uncertainty.Levels!$A$1,MATCH(BH$88,Tab.Uncertainty.Levels!$A:$A,0)-1,MATCH(BH$87&amp;"_"&amp;BF114,Tab.Uncertainty.Levels!$1:$1,0)-1)</f>
        <v>#N/A</v>
      </c>
      <c r="BI114" s="32" t="str">
        <f t="shared" si="31"/>
        <v>D</v>
      </c>
      <c r="BJ114" s="13">
        <f ca="1">IF(BF114="-",BE114,BH114)</f>
        <v>0.3</v>
      </c>
      <c r="BK114" s="32" t="str">
        <f>IF(OR($L114="NoDataSource",IFERROR(IF($S114="",#N/A,$S114),0)=0),IF(IFERROR(IF(U114="",#N/A,U114),0)=0,"E","D"),IF($L114="DesignDataPlusQA","A",IF($L114="DesignData","B","C")))</f>
        <v>C</v>
      </c>
      <c r="BL114" s="20" t="str">
        <f ca="1">OFFSET(Tab.Uncertainty.Levels!$A$1,MATCH(BL$88,Tab.Uncertainty.Levels!$A:$A,0)-1,MATCH(BL$87&amp;"_"&amp;BK114,Tab.Uncertainty.Levels!$1:$1,0)-1)</f>
        <v>Insulation thickness determined by inspection onsite / record or statement of owner</v>
      </c>
      <c r="BM114" s="24">
        <f ca="1">OFFSET(Tab.Uncertainty.Levels!$A$1,MATCH(BM$88,Tab.Uncertainty.Levels!$A:$A,0)-1,MATCH(BM$87&amp;"_"&amp;BK114,Tab.Uncertainty.Levels!$1:$1,0)-1)</f>
        <v>0.25</v>
      </c>
      <c r="BN114" s="34">
        <f ca="1">OFFSET(Tab.Uncertainty.Levels!$A$1,MATCH(BN$88,Tab.Uncertainty.Levels!$A:$A,0)-1,MATCH(BN$87&amp;"_"&amp;BK114,Tab.Uncertainty.Levels!$1:$1,0)-1)</f>
        <v>2</v>
      </c>
      <c r="BO114" s="13">
        <f ca="1">IFERROR(MIN(BM114,BN114/AN114),0)</f>
        <v>8.3333333333333329E-2</v>
      </c>
      <c r="BP114" s="32" t="str">
        <f>IF(OR($L114="NoDataSource",IFERROR(IF($V114="",#N/A,$V114),0)=0),IF(IFERROR(IF(U114="",#N/A,U114),0)=0,"E","D"),IF($L114="DesignDataPlusQA","A",IF($L114="DesignData","B","C")))</f>
        <v>C</v>
      </c>
      <c r="BQ114" s="20" t="str">
        <f ca="1">OFFSET(Tab.Uncertainty.Levels!$A$1,MATCH(BQ$88,Tab.Uncertainty.Levels!$A:$A,0)-1,MATCH(BQ$87&amp;"_"&amp;BP114,Tab.Uncertainty.Levels!$1:$1,0)-1)</f>
        <v>Thermal conductivity of Insulation determined by inspection onsite / record or statement of owner</v>
      </c>
      <c r="BR114" s="97">
        <f ca="1">OFFSET(Tab.Uncertainty.Levels!$A$1,MATCH(BR$88,Tab.Uncertainty.Levels!$A:$A,0)-1,MATCH(BR$87&amp;"_"&amp;BP114,Tab.Uncertainty.Levels!$1:$1,0)-1)</f>
        <v>0.15</v>
      </c>
      <c r="BS114" s="32" t="str">
        <f>IF(L114="NoDataSource","D",IF(IFERROR(IF($T114="",#N/A,$T114),0)=0,IF(OR(IFERROR(IF($S114="",#N/A,$S114),0)&gt;0,$R114="Refurbish"),"D","E"),IF($L114="DesignDataPlusQA","A",IF($L114="DesignData","B","C"))))</f>
        <v>D</v>
      </c>
      <c r="BT114" s="20" t="str">
        <f ca="1">OFFSET(Tab.Uncertainty.Levels!$A$1,MATCH(BT$88,Tab.Uncertainty.Levels!$A:$A,0)-1,MATCH(BT$87&amp;"_"&amp;BS114,Tab.Uncertainty.Levels!$1:$1,0)-1)</f>
        <v>Insulation has been applied, but no information about insulation fraction (default fraction value is the average insulation fraction for all insulated buildings)</v>
      </c>
      <c r="BU114" s="33">
        <f ca="1">OFFSET(Tab.Uncertainty.Levels!$A$1,MATCH(BU$88,Tab.Uncertainty.Levels!$A:$A,0)-1,MATCH(BU$87&amp;"_"&amp;BS114,Tab.Uncertainty.Levels!$1:$1,0)-1)</f>
        <v>0.3</v>
      </c>
      <c r="BV114" s="13">
        <f ca="1">IFERROR(MIN(BU114/AW114,1,(1-AW114)/AW114),0)</f>
        <v>0</v>
      </c>
      <c r="BW114" s="96">
        <f ca="1">ABS(1+(AW114*(1/(1+AN114/100/AP114*AG114)^2-1)))*BJ114*$AG114</f>
        <v>0.31034482758620691</v>
      </c>
      <c r="BX114" s="96">
        <f ca="1">ABS(-AG114+1/(1/AG114+AN114/100/AP114))*BV114*AW114</f>
        <v>0</v>
      </c>
      <c r="BY114" s="96">
        <f ca="1">ABS(-AW114*AP114/((AP114/AG114+AN114/100)^2))*(BO114*AN114/100)</f>
        <v>0</v>
      </c>
      <c r="BZ114" s="202">
        <f ca="1">ABS(AW114*AN114/100/(1/AG114*AP114+AN114/100)^2)*(BR114*AP114)</f>
        <v>0</v>
      </c>
      <c r="CA114" s="103">
        <f t="shared" ca="1" si="32"/>
        <v>0.31034482758620691</v>
      </c>
      <c r="CB114" s="37">
        <f t="shared" ca="1" si="11"/>
        <v>0.3</v>
      </c>
      <c r="CC114" s="37">
        <f t="shared" ca="1" si="12"/>
        <v>0</v>
      </c>
      <c r="CD114" s="37">
        <f t="shared" ca="1" si="13"/>
        <v>0</v>
      </c>
      <c r="CE114" s="37">
        <f t="shared" ca="1" si="14"/>
        <v>0</v>
      </c>
      <c r="CF114" s="13">
        <f t="shared" ca="1" si="15"/>
        <v>0.3</v>
      </c>
      <c r="CG114" s="101">
        <f ca="1">AG114</f>
        <v>1.0344827586206897</v>
      </c>
      <c r="CH114" s="101">
        <f>AW114</f>
        <v>0</v>
      </c>
      <c r="CI114" s="203">
        <f>IF(CH114&gt;0,AN114,0)</f>
        <v>0</v>
      </c>
      <c r="CJ114" s="102">
        <f>IF(AND(CH114&gt;0,CI114&gt;0),AP114,0)</f>
        <v>0</v>
      </c>
      <c r="CK114" s="102">
        <f ca="1">BB114</f>
        <v>1.0344827586206897</v>
      </c>
      <c r="CL114" s="37">
        <f t="shared" ca="1" si="16"/>
        <v>0.3</v>
      </c>
      <c r="CM114" s="37">
        <f t="shared" ca="1" si="17"/>
        <v>0</v>
      </c>
      <c r="CN114" s="37">
        <f t="shared" ca="1" si="18"/>
        <v>8.3333333333333329E-2</v>
      </c>
      <c r="CO114" s="37">
        <f t="shared" ca="1" si="19"/>
        <v>0.15</v>
      </c>
      <c r="CP114" s="37">
        <f t="shared" ca="1" si="20"/>
        <v>0.3</v>
      </c>
      <c r="CQ114" s="95">
        <f t="shared" ca="1" si="21"/>
        <v>0.31034482758620691</v>
      </c>
      <c r="CR114" s="95">
        <f t="shared" ca="1" si="22"/>
        <v>0</v>
      </c>
      <c r="CS114" s="95">
        <f t="shared" ca="1" si="23"/>
        <v>0</v>
      </c>
      <c r="CT114" s="103">
        <f t="shared" ca="1" si="24"/>
        <v>0</v>
      </c>
      <c r="CU114" s="95">
        <f t="shared" ca="1" si="25"/>
        <v>0.31034482758620691</v>
      </c>
      <c r="CV114" s="37">
        <f ca="1">$CB114^2/$CF114^2</f>
        <v>1</v>
      </c>
      <c r="CW114" s="37">
        <f ca="1">$CD114^2/$CF114^2</f>
        <v>0</v>
      </c>
      <c r="CX114" s="37">
        <f ca="1">$CE114^2/$CF114^2</f>
        <v>0</v>
      </c>
      <c r="CY114" s="37">
        <f ca="1">$CC114^2/$CF114^2</f>
        <v>0</v>
      </c>
      <c r="DA114" s="98" t="s">
        <v>456</v>
      </c>
      <c r="DB114" s="35">
        <f ca="1">OFFSET($A$1,ROW(DB114)-1,MATCH(DA114,$1:$1,0)-1)</f>
        <v>0</v>
      </c>
      <c r="DC114" s="9">
        <f ca="1">BB114</f>
        <v>1.0344827586206897</v>
      </c>
      <c r="DD114" s="9">
        <f ca="1">$DC114+$CA114</f>
        <v>1.3448275862068966</v>
      </c>
      <c r="DE114" s="9">
        <f ca="1">$DC114-$CA114</f>
        <v>0.72413793103448287</v>
      </c>
      <c r="DF114" s="10">
        <f t="shared" ref="DF114:DF123" ca="1" si="37">0.5*(DD114-DE114)/DC114</f>
        <v>0.29999999999999993</v>
      </c>
    </row>
    <row r="115" spans="1:110" s="8" customFormat="1" ht="32.4" customHeight="1">
      <c r="A115" s="206" t="s">
        <v>560</v>
      </c>
      <c r="B115" s="209" t="s">
        <v>2341</v>
      </c>
      <c r="C115" s="206" t="str">
        <f>E115&amp;" = "&amp;F115</f>
        <v>Parameter-Variation: f_Measure = 10%</v>
      </c>
      <c r="D115" s="206"/>
      <c r="E115" s="206" t="s">
        <v>197</v>
      </c>
      <c r="F115" s="206" t="str">
        <f t="shared" si="36"/>
        <v>10%</v>
      </c>
      <c r="G115" s="206" t="s">
        <v>2170</v>
      </c>
      <c r="H115" s="206" t="s">
        <v>2171</v>
      </c>
      <c r="I115" s="156" t="s">
        <v>80</v>
      </c>
      <c r="J115" s="156" t="s">
        <v>134</v>
      </c>
      <c r="K115" s="156" t="s">
        <v>155</v>
      </c>
      <c r="L115" s="156" t="s">
        <v>66</v>
      </c>
      <c r="M115" s="156" t="s">
        <v>188</v>
      </c>
      <c r="N115" s="7">
        <v>1925</v>
      </c>
      <c r="O115" s="156">
        <v>1</v>
      </c>
      <c r="P115" s="156">
        <v>0</v>
      </c>
      <c r="Q115" s="156" t="s">
        <v>435</v>
      </c>
      <c r="R115" s="156" t="s">
        <v>58</v>
      </c>
      <c r="S115" s="19">
        <v>24</v>
      </c>
      <c r="T115" s="19">
        <v>0.1</v>
      </c>
      <c r="U115" s="19">
        <v>2016</v>
      </c>
      <c r="V115" s="19">
        <v>3.5000000000000003E-2</v>
      </c>
      <c r="W115" s="28" t="s">
        <v>59</v>
      </c>
      <c r="X115" s="19" t="e">
        <v>#N/A</v>
      </c>
      <c r="Y115" s="105">
        <f ca="1">IFERROR(OFFSET(Tab.Const.ConstrBorder!$A$1,MATCH(Q115,Tab.Const.ConstrBorder!$A:$A,0)-1,MATCH(Y$87,Tab.Const.ConstrBorder!$1:$1,0)-1),0)</f>
        <v>0</v>
      </c>
      <c r="Z115" s="18">
        <f t="shared" si="27"/>
        <v>1925</v>
      </c>
      <c r="AA115" s="17">
        <f>MATCH(Z115,Tab.Year.Period!$11:$11,1)-3</f>
        <v>3</v>
      </c>
      <c r="AB115" s="17">
        <f>MATCH(AB$88&amp;"."&amp;TEXT(AA115,"00"),Tab.U.Default!$A:$A,0)</f>
        <v>26</v>
      </c>
      <c r="AC115" s="105">
        <f ca="1">OFFSET(Tab.U.Default!$A$1,$AB115-1,MATCH("U_Class_"&amp;IF($J115="TopCeiling","UpperCeiling",$J115)&amp;"_"&amp;AC$87,Tab.U.Default!$1:$1,0)-1)</f>
        <v>1.5</v>
      </c>
      <c r="AD115" s="105">
        <f ca="1">OFFSET(Tab.U.Default!$A$1,$AB115-1,MATCH("U_Class_"&amp;IF($J115="TopCeiling","UpperCeiling",$J115)&amp;"_"&amp;AD$87,Tab.U.Default!$1:$1,0)-1)</f>
        <v>1.5</v>
      </c>
      <c r="AE115" s="105">
        <f ca="1">OFFSET(Tab.U.Default!$A$1,$AB115-1,MATCH("U_Class_"&amp;IF($J115="TopCeiling","UpperCeiling",$J115)&amp;"_"&amp;AE$87,Tab.U.Default!$1:$1,0)-1)</f>
        <v>1.5</v>
      </c>
      <c r="AF115" s="26">
        <f t="shared" ca="1" si="0"/>
        <v>1.5</v>
      </c>
      <c r="AG115" s="26">
        <f t="shared" ca="1" si="1"/>
        <v>1.5</v>
      </c>
      <c r="AH115" s="18" t="str">
        <f t="shared" si="2"/>
        <v>Refurbish</v>
      </c>
      <c r="AI115" s="18" t="str">
        <f t="shared" si="28"/>
        <v>Add</v>
      </c>
      <c r="AJ115" s="18">
        <f t="shared" si="3"/>
        <v>2016</v>
      </c>
      <c r="AK115" s="17">
        <f>MATCH(AJ115,Tab.Year.Period!$11:$11,1)-3</f>
        <v>12</v>
      </c>
      <c r="AL115" s="17">
        <f>MATCH(AL$88&amp;"."&amp;TEXT(AK115,"00"),Tab.Insulation.Default!$A:$A,0)</f>
        <v>23</v>
      </c>
      <c r="AM115" s="20" t="e">
        <f ca="1">IF(ISNA(IF(S115="",#N/A,S115)),OFFSET(Tab.Insulation.Default!$A$1,$AL115-1,MATCH(AM$87&amp;"_"&amp;$K115,Tab.Insulation.Default!$1:$1,0)-1),#N/A)</f>
        <v>#N/A</v>
      </c>
      <c r="AN115" s="27">
        <f t="shared" si="29"/>
        <v>24</v>
      </c>
      <c r="AO115" s="22" t="e">
        <f ca="1">IF(ISNA(IF(V115="",#N/A,V115)),OFFSET(Tab.Insulation.Default!$A$1,$AL115-1,MATCH(AO$87&amp;"_"&amp;$K115,Tab.Insulation.Default!$1:$1,0)-1),#N/A)</f>
        <v>#N/A</v>
      </c>
      <c r="AP115" s="23">
        <f t="shared" si="30"/>
        <v>3.5000000000000003E-2</v>
      </c>
      <c r="AQ115" s="29" t="str">
        <f t="shared" si="4"/>
        <v>Gen.Refurbished.12</v>
      </c>
      <c r="AR115" s="17">
        <f>MATCH(AR$88&amp;"."&amp;AQ115,Tab.Measure.f.Default!$A:$A,0)</f>
        <v>23</v>
      </c>
      <c r="AS115" s="21">
        <f ca="1">OFFSET(Tab.Measure.f.Default!$A$1,AR115-1,MATCH(AS$87&amp;"_"&amp;$J115,Tab.Measure.f.Default!$1:$1,0)-1)</f>
        <v>0.75</v>
      </c>
      <c r="AT115" s="29" t="str">
        <f t="shared" si="5"/>
        <v>MUH.NA.03</v>
      </c>
      <c r="AU115" s="17">
        <f>MATCH(AU$88&amp;"."&amp;AT115,Tab.Measure.f.Default!$A:$A,0)</f>
        <v>38</v>
      </c>
      <c r="AV115" s="21">
        <f ca="1">OFFSET(Tab.Measure.f.Default!$A$1,AU115-1,MATCH(AV$87&amp;"_"&amp;$J115,Tab.Measure.f.Default!$1:$1,0)-1)</f>
        <v>0.37</v>
      </c>
      <c r="AW115" s="30">
        <f t="shared" si="33"/>
        <v>0.1</v>
      </c>
      <c r="AX115" s="9">
        <f t="shared" ca="1" si="6"/>
        <v>0.66666666666666663</v>
      </c>
      <c r="AY115" s="9">
        <f t="shared" si="7"/>
        <v>6.8571428571428559</v>
      </c>
      <c r="AZ115" s="9">
        <f t="shared" ref="AZ115:AZ124" ca="1" si="38">AX115+AY115</f>
        <v>7.5238095238095228</v>
      </c>
      <c r="BA115" s="9">
        <f t="shared" ref="BA115:BA124" ca="1" si="39">1/AZ115</f>
        <v>0.13291139240506331</v>
      </c>
      <c r="BB115" s="9">
        <f t="shared" ca="1" si="8"/>
        <v>1.3632911392405065</v>
      </c>
      <c r="BC115" s="32" t="str">
        <f t="shared" si="9"/>
        <v>D</v>
      </c>
      <c r="BD115" s="20" t="str">
        <f ca="1">OFFSET(Tab.Uncertainty.Levels!$A$1,MATCH(BD$88,Tab.Uncertainty.Levels!$A:$A,0)-1,MATCH(BD$87&amp;"_"&amp;BC115,Tab.Uncertainty.Levels!$1:$1,0)-1)</f>
        <v>Use of default values; building constructed until 1983</v>
      </c>
      <c r="BE115" s="24">
        <f ca="1">OFFSET(Tab.Uncertainty.Levels!$A$1,MATCH(BE$88,Tab.Uncertainty.Levels!$A:$A,0)-1,MATCH(BE$87&amp;"_"&amp;BC115,Tab.Uncertainty.Levels!$1:$1,0)-1)</f>
        <v>0.3</v>
      </c>
      <c r="BF115" s="32" t="str">
        <f t="shared" si="10"/>
        <v>-</v>
      </c>
      <c r="BG115" s="20" t="e">
        <f ca="1">OFFSET(Tab.Uncertainty.Levels!$A$1,MATCH(BG$88,Tab.Uncertainty.Levels!$A:$A,0)-1,MATCH(BG$87&amp;"_"&amp;BF115,Tab.Uncertainty.Levels!$1:$1,0)-1)</f>
        <v>#N/A</v>
      </c>
      <c r="BH115" s="24" t="e">
        <f ca="1">OFFSET(Tab.Uncertainty.Levels!$A$1,MATCH(BH$88,Tab.Uncertainty.Levels!$A:$A,0)-1,MATCH(BH$87&amp;"_"&amp;BF115,Tab.Uncertainty.Levels!$1:$1,0)-1)</f>
        <v>#N/A</v>
      </c>
      <c r="BI115" s="32" t="str">
        <f t="shared" si="31"/>
        <v>D</v>
      </c>
      <c r="BJ115" s="13">
        <f ca="1">IF(BF115="-",BE115,BH115)</f>
        <v>0.3</v>
      </c>
      <c r="BK115" s="32" t="str">
        <f>IF(OR($L115="NoDataSource",IFERROR(IF($S115="",#N/A,$S115),0)=0),IF(IFERROR(IF(U115="",#N/A,U115),0)=0,"E","D"),IF($L115="DesignDataPlusQA","A",IF($L115="DesignData","B","C")))</f>
        <v>C</v>
      </c>
      <c r="BL115" s="20" t="str">
        <f ca="1">OFFSET(Tab.Uncertainty.Levels!$A$1,MATCH(BL$88,Tab.Uncertainty.Levels!$A:$A,0)-1,MATCH(BL$87&amp;"_"&amp;BK115,Tab.Uncertainty.Levels!$1:$1,0)-1)</f>
        <v>Insulation thickness determined by inspection onsite / record or statement of owner</v>
      </c>
      <c r="BM115" s="24">
        <f ca="1">OFFSET(Tab.Uncertainty.Levels!$A$1,MATCH(BM$88,Tab.Uncertainty.Levels!$A:$A,0)-1,MATCH(BM$87&amp;"_"&amp;BK115,Tab.Uncertainty.Levels!$1:$1,0)-1)</f>
        <v>0.25</v>
      </c>
      <c r="BN115" s="34">
        <f ca="1">OFFSET(Tab.Uncertainty.Levels!$A$1,MATCH(BN$88,Tab.Uncertainty.Levels!$A:$A,0)-1,MATCH(BN$87&amp;"_"&amp;BK115,Tab.Uncertainty.Levels!$1:$1,0)-1)</f>
        <v>2</v>
      </c>
      <c r="BO115" s="13">
        <f ca="1">IFERROR(MIN(BM115,BN115/AN115),0)</f>
        <v>8.3333333333333329E-2</v>
      </c>
      <c r="BP115" s="32" t="str">
        <f>IF(OR($L115="NoDataSource",IFERROR(IF($V115="",#N/A,$V115),0)=0),IF(IFERROR(IF(U115="",#N/A,U115),0)=0,"E","D"),IF($L115="DesignDataPlusQA","A",IF($L115="DesignData","B","C")))</f>
        <v>C</v>
      </c>
      <c r="BQ115" s="20" t="str">
        <f ca="1">OFFSET(Tab.Uncertainty.Levels!$A$1,MATCH(BQ$88,Tab.Uncertainty.Levels!$A:$A,0)-1,MATCH(BQ$87&amp;"_"&amp;BP115,Tab.Uncertainty.Levels!$1:$1,0)-1)</f>
        <v>Thermal conductivity of Insulation determined by inspection onsite / record or statement of owner</v>
      </c>
      <c r="BR115" s="97">
        <f ca="1">OFFSET(Tab.Uncertainty.Levels!$A$1,MATCH(BR$88,Tab.Uncertainty.Levels!$A:$A,0)-1,MATCH(BR$87&amp;"_"&amp;BP115,Tab.Uncertainty.Levels!$1:$1,0)-1)</f>
        <v>0.15</v>
      </c>
      <c r="BS115" s="32" t="str">
        <f>IF(L115="NoDataSource","D",IF(IFERROR(IF($T115="",#N/A,$T115),0)=0,IF(OR(IFERROR(IF($S115="",#N/A,$S115),0)&gt;0,$R115="Refurbish"),"D","E"),IF($L115="DesignDataPlusQA","A",IF($L115="DesignData","B","C"))))</f>
        <v>C</v>
      </c>
      <c r="BT115" s="20" t="str">
        <f ca="1">OFFSET(Tab.Uncertainty.Levels!$A$1,MATCH(BT$88,Tab.Uncertainty.Levels!$A:$A,0)-1,MATCH(BT$87&amp;"_"&amp;BS115,Tab.Uncertainty.Levels!$1:$1,0)-1)</f>
        <v>Insulation fraction determined by inspection onsite / record or statement of owner</v>
      </c>
      <c r="BU115" s="33">
        <f ca="1">OFFSET(Tab.Uncertainty.Levels!$A$1,MATCH(BU$88,Tab.Uncertainty.Levels!$A:$A,0)-1,MATCH(BU$87&amp;"_"&amp;BS115,Tab.Uncertainty.Levels!$1:$1,0)-1)</f>
        <v>0.2</v>
      </c>
      <c r="BV115" s="13">
        <f ca="1">IFERROR(MIN(BU115/AW115,1,(1-AW115)/AW115),0)</f>
        <v>1</v>
      </c>
      <c r="BW115" s="96">
        <f ca="1">ABS(1+(AW115*(1/(1+AN115/100/AP115*AG115)^2-1)))*BJ115*$AG115</f>
        <v>0.40535330876462106</v>
      </c>
      <c r="BX115" s="96">
        <f ca="1">ABS(-AG115+1/(1/AG115+AN115/100/AP115))*BV115*AW115</f>
        <v>0.13670886075949368</v>
      </c>
      <c r="BY115" s="96">
        <f ca="1">ABS(-AW115*AP115/((AP115/AG115+AN115/100)^2))*(BO115*AN115/100)</f>
        <v>1.0094536132030127E-3</v>
      </c>
      <c r="BZ115" s="202">
        <f ca="1">ABS(AW115*AN115/100/(1/AG115*AP115+AN115/100)^2)*(BR115*AP115)</f>
        <v>1.8170165037654231E-3</v>
      </c>
      <c r="CA115" s="103">
        <f t="shared" ca="1" si="32"/>
        <v>0.42779076437220687</v>
      </c>
      <c r="CB115" s="37">
        <f t="shared" ca="1" si="11"/>
        <v>0.29733436761750287</v>
      </c>
      <c r="CC115" s="37">
        <f t="shared" ca="1" si="12"/>
        <v>0.10027855153203342</v>
      </c>
      <c r="CD115" s="37">
        <f t="shared" ca="1" si="13"/>
        <v>7.4045343958252551E-4</v>
      </c>
      <c r="CE115" s="37">
        <f t="shared" ca="1" si="14"/>
        <v>1.332816191248546E-3</v>
      </c>
      <c r="CF115" s="13">
        <f t="shared" ca="1" si="15"/>
        <v>0.31379266838815539</v>
      </c>
      <c r="CG115" s="101">
        <f ca="1">AG115</f>
        <v>1.5</v>
      </c>
      <c r="CH115" s="101">
        <f>AW115</f>
        <v>0.1</v>
      </c>
      <c r="CI115" s="203">
        <f>IF(CH115&gt;0,AN115,0)</f>
        <v>24</v>
      </c>
      <c r="CJ115" s="102">
        <f>IF(AND(CH115&gt;0,CI115&gt;0),AP115,0)</f>
        <v>3.5000000000000003E-2</v>
      </c>
      <c r="CK115" s="102">
        <f ca="1">BB115</f>
        <v>1.3632911392405065</v>
      </c>
      <c r="CL115" s="37">
        <f t="shared" ca="1" si="16"/>
        <v>0.3</v>
      </c>
      <c r="CM115" s="37">
        <f t="shared" ca="1" si="17"/>
        <v>1</v>
      </c>
      <c r="CN115" s="37">
        <f t="shared" ca="1" si="18"/>
        <v>8.3333333333333329E-2</v>
      </c>
      <c r="CO115" s="37">
        <f t="shared" ca="1" si="19"/>
        <v>0.15</v>
      </c>
      <c r="CP115" s="37">
        <f t="shared" ca="1" si="20"/>
        <v>0.31379266838815539</v>
      </c>
      <c r="CQ115" s="95">
        <f t="shared" ca="1" si="21"/>
        <v>0.44999999999999996</v>
      </c>
      <c r="CR115" s="95">
        <f t="shared" ca="1" si="22"/>
        <v>0.1</v>
      </c>
      <c r="CS115" s="95">
        <f t="shared" ca="1" si="23"/>
        <v>2</v>
      </c>
      <c r="CT115" s="103">
        <f t="shared" ca="1" si="24"/>
        <v>5.2500000000000003E-3</v>
      </c>
      <c r="CU115" s="95">
        <f t="shared" ca="1" si="25"/>
        <v>0.42779076437220681</v>
      </c>
      <c r="CV115" s="37">
        <f ca="1">$CB115^2/$CF115^2</f>
        <v>0.89785175552291052</v>
      </c>
      <c r="CW115" s="37">
        <f ca="1">$CD115^2/$CF115^2</f>
        <v>5.5681371655182124E-6</v>
      </c>
      <c r="CX115" s="37">
        <f ca="1">$CE115^2/$CF115^2</f>
        <v>1.8040764416279011E-5</v>
      </c>
      <c r="CY115" s="37">
        <f ca="1">$CC115^2/$CF115^2</f>
        <v>0.10212463557550769</v>
      </c>
      <c r="DA115" s="98" t="s">
        <v>456</v>
      </c>
      <c r="DB115" s="35">
        <f ca="1">OFFSET($A$1,ROW(DB115)-1,MATCH(DA115,$1:$1,0)-1)</f>
        <v>0.1</v>
      </c>
      <c r="DC115" s="9">
        <f ca="1">BB115</f>
        <v>1.3632911392405065</v>
      </c>
      <c r="DD115" s="9">
        <f ca="1">$DC115+$CA115</f>
        <v>1.7910819036127132</v>
      </c>
      <c r="DE115" s="9">
        <f ca="1">$DC115-$CA115</f>
        <v>0.93550037486829962</v>
      </c>
      <c r="DF115" s="10">
        <f t="shared" ca="1" si="37"/>
        <v>0.31379266838815539</v>
      </c>
    </row>
    <row r="116" spans="1:110" s="8" customFormat="1" ht="32.4" customHeight="1">
      <c r="A116" s="206" t="s">
        <v>560</v>
      </c>
      <c r="B116" s="209" t="s">
        <v>2341</v>
      </c>
      <c r="C116" s="206" t="str">
        <f t="shared" ref="C116:C120" si="40">E116&amp;" = "&amp;F116</f>
        <v>Parameter-Variation: f_Measure = 20%</v>
      </c>
      <c r="D116" s="206"/>
      <c r="E116" s="206" t="s">
        <v>197</v>
      </c>
      <c r="F116" s="206" t="str">
        <f t="shared" si="36"/>
        <v>20%</v>
      </c>
      <c r="G116" s="206" t="s">
        <v>2170</v>
      </c>
      <c r="H116" s="206" t="s">
        <v>2171</v>
      </c>
      <c r="I116" s="156" t="s">
        <v>80</v>
      </c>
      <c r="J116" s="156" t="s">
        <v>134</v>
      </c>
      <c r="K116" s="156" t="s">
        <v>155</v>
      </c>
      <c r="L116" s="156" t="s">
        <v>66</v>
      </c>
      <c r="M116" s="156" t="s">
        <v>188</v>
      </c>
      <c r="N116" s="7">
        <v>1925</v>
      </c>
      <c r="O116" s="156">
        <v>1</v>
      </c>
      <c r="P116" s="156">
        <v>0</v>
      </c>
      <c r="Q116" s="156" t="s">
        <v>435</v>
      </c>
      <c r="R116" s="156" t="s">
        <v>58</v>
      </c>
      <c r="S116" s="19">
        <v>24</v>
      </c>
      <c r="T116" s="19">
        <v>0.2</v>
      </c>
      <c r="U116" s="19">
        <v>2016</v>
      </c>
      <c r="V116" s="19">
        <v>3.5000000000000003E-2</v>
      </c>
      <c r="W116" s="28" t="s">
        <v>59</v>
      </c>
      <c r="X116" s="19" t="e">
        <v>#N/A</v>
      </c>
      <c r="Y116" s="105">
        <f ca="1">IFERROR(OFFSET(Tab.Const.ConstrBorder!$A$1,MATCH(Q116,Tab.Const.ConstrBorder!$A:$A,0)-1,MATCH(Y$87,Tab.Const.ConstrBorder!$1:$1,0)-1),0)</f>
        <v>0</v>
      </c>
      <c r="Z116" s="18">
        <f t="shared" si="27"/>
        <v>1925</v>
      </c>
      <c r="AA116" s="17">
        <f>MATCH(Z116,Tab.Year.Period!$11:$11,1)-3</f>
        <v>3</v>
      </c>
      <c r="AB116" s="17">
        <f>MATCH(AB$88&amp;"."&amp;TEXT(AA116,"00"),Tab.U.Default!$A:$A,0)</f>
        <v>26</v>
      </c>
      <c r="AC116" s="105">
        <f ca="1">OFFSET(Tab.U.Default!$A$1,$AB116-1,MATCH("U_Class_"&amp;IF($J116="TopCeiling","UpperCeiling",$J116)&amp;"_"&amp;AC$87,Tab.U.Default!$1:$1,0)-1)</f>
        <v>1.5</v>
      </c>
      <c r="AD116" s="105">
        <f ca="1">OFFSET(Tab.U.Default!$A$1,$AB116-1,MATCH("U_Class_"&amp;IF($J116="TopCeiling","UpperCeiling",$J116)&amp;"_"&amp;AD$87,Tab.U.Default!$1:$1,0)-1)</f>
        <v>1.5</v>
      </c>
      <c r="AE116" s="105">
        <f ca="1">OFFSET(Tab.U.Default!$A$1,$AB116-1,MATCH("U_Class_"&amp;IF($J116="TopCeiling","UpperCeiling",$J116)&amp;"_"&amp;AE$87,Tab.U.Default!$1:$1,0)-1)</f>
        <v>1.5</v>
      </c>
      <c r="AF116" s="26">
        <f t="shared" ca="1" si="0"/>
        <v>1.5</v>
      </c>
      <c r="AG116" s="26">
        <f t="shared" ca="1" si="1"/>
        <v>1.5</v>
      </c>
      <c r="AH116" s="18" t="str">
        <f t="shared" si="2"/>
        <v>Refurbish</v>
      </c>
      <c r="AI116" s="18" t="str">
        <f t="shared" si="28"/>
        <v>Add</v>
      </c>
      <c r="AJ116" s="18">
        <f t="shared" si="3"/>
        <v>2016</v>
      </c>
      <c r="AK116" s="17">
        <f>MATCH(AJ116,Tab.Year.Period!$11:$11,1)-3</f>
        <v>12</v>
      </c>
      <c r="AL116" s="17">
        <f>MATCH(AL$88&amp;"."&amp;TEXT(AK116,"00"),Tab.Insulation.Default!$A:$A,0)</f>
        <v>23</v>
      </c>
      <c r="AM116" s="20" t="e">
        <f ca="1">IF(ISNA(IF(S116="",#N/A,S116)),OFFSET(Tab.Insulation.Default!$A$1,$AL116-1,MATCH(AM$87&amp;"_"&amp;$K116,Tab.Insulation.Default!$1:$1,0)-1),#N/A)</f>
        <v>#N/A</v>
      </c>
      <c r="AN116" s="27">
        <f t="shared" si="29"/>
        <v>24</v>
      </c>
      <c r="AO116" s="22" t="e">
        <f ca="1">IF(ISNA(IF(V116="",#N/A,V116)),OFFSET(Tab.Insulation.Default!$A$1,$AL116-1,MATCH(AO$87&amp;"_"&amp;$K116,Tab.Insulation.Default!$1:$1,0)-1),#N/A)</f>
        <v>#N/A</v>
      </c>
      <c r="AP116" s="23">
        <f t="shared" si="30"/>
        <v>3.5000000000000003E-2</v>
      </c>
      <c r="AQ116" s="29" t="str">
        <f t="shared" si="4"/>
        <v>Gen.Refurbished.12</v>
      </c>
      <c r="AR116" s="17">
        <f>MATCH(AR$88&amp;"."&amp;AQ116,Tab.Measure.f.Default!$A:$A,0)</f>
        <v>23</v>
      </c>
      <c r="AS116" s="21">
        <f ca="1">OFFSET(Tab.Measure.f.Default!$A$1,AR116-1,MATCH(AS$87&amp;"_"&amp;$J116,Tab.Measure.f.Default!$1:$1,0)-1)</f>
        <v>0.75</v>
      </c>
      <c r="AT116" s="29" t="str">
        <f t="shared" si="5"/>
        <v>MUH.NA.03</v>
      </c>
      <c r="AU116" s="17">
        <f>MATCH(AU$88&amp;"."&amp;AT116,Tab.Measure.f.Default!$A:$A,0)</f>
        <v>38</v>
      </c>
      <c r="AV116" s="21">
        <f ca="1">OFFSET(Tab.Measure.f.Default!$A$1,AU116-1,MATCH(AV$87&amp;"_"&amp;$J116,Tab.Measure.f.Default!$1:$1,0)-1)</f>
        <v>0.37</v>
      </c>
      <c r="AW116" s="30">
        <f t="shared" si="33"/>
        <v>0.2</v>
      </c>
      <c r="AX116" s="9">
        <f t="shared" ca="1" si="6"/>
        <v>0.66666666666666663</v>
      </c>
      <c r="AY116" s="9">
        <f t="shared" si="7"/>
        <v>6.8571428571428559</v>
      </c>
      <c r="AZ116" s="9">
        <f t="shared" ref="AZ116:AZ120" ca="1" si="41">AX116+AY116</f>
        <v>7.5238095238095228</v>
      </c>
      <c r="BA116" s="9">
        <f t="shared" ref="BA116:BA120" ca="1" si="42">1/AZ116</f>
        <v>0.13291139240506331</v>
      </c>
      <c r="BB116" s="9">
        <f t="shared" ca="1" si="8"/>
        <v>1.2265822784810128</v>
      </c>
      <c r="BC116" s="32" t="str">
        <f t="shared" si="9"/>
        <v>D</v>
      </c>
      <c r="BD116" s="20" t="str">
        <f ca="1">OFFSET(Tab.Uncertainty.Levels!$A$1,MATCH(BD$88,Tab.Uncertainty.Levels!$A:$A,0)-1,MATCH(BD$87&amp;"_"&amp;BC116,Tab.Uncertainty.Levels!$1:$1,0)-1)</f>
        <v>Use of default values; building constructed until 1983</v>
      </c>
      <c r="BE116" s="24">
        <f ca="1">OFFSET(Tab.Uncertainty.Levels!$A$1,MATCH(BE$88,Tab.Uncertainty.Levels!$A:$A,0)-1,MATCH(BE$87&amp;"_"&amp;BC116,Tab.Uncertainty.Levels!$1:$1,0)-1)</f>
        <v>0.3</v>
      </c>
      <c r="BF116" s="32" t="str">
        <f t="shared" si="10"/>
        <v>-</v>
      </c>
      <c r="BG116" s="20" t="e">
        <f ca="1">OFFSET(Tab.Uncertainty.Levels!$A$1,MATCH(BG$88,Tab.Uncertainty.Levels!$A:$A,0)-1,MATCH(BG$87&amp;"_"&amp;BF116,Tab.Uncertainty.Levels!$1:$1,0)-1)</f>
        <v>#N/A</v>
      </c>
      <c r="BH116" s="24" t="e">
        <f ca="1">OFFSET(Tab.Uncertainty.Levels!$A$1,MATCH(BH$88,Tab.Uncertainty.Levels!$A:$A,0)-1,MATCH(BH$87&amp;"_"&amp;BF116,Tab.Uncertainty.Levels!$1:$1,0)-1)</f>
        <v>#N/A</v>
      </c>
      <c r="BI116" s="32" t="str">
        <f t="shared" si="31"/>
        <v>D</v>
      </c>
      <c r="BJ116" s="13">
        <f ca="1">IF(BF116="-",BE116,BH116)</f>
        <v>0.3</v>
      </c>
      <c r="BK116" s="32" t="str">
        <f>IF(OR($L116="NoDataSource",IFERROR(IF($S116="",#N/A,$S116),0)=0),IF(IFERROR(IF(U116="",#N/A,U116),0)=0,"E","D"),IF($L116="DesignDataPlusQA","A",IF($L116="DesignData","B","C")))</f>
        <v>C</v>
      </c>
      <c r="BL116" s="20" t="str">
        <f ca="1">OFFSET(Tab.Uncertainty.Levels!$A$1,MATCH(BL$88,Tab.Uncertainty.Levels!$A:$A,0)-1,MATCH(BL$87&amp;"_"&amp;BK116,Tab.Uncertainty.Levels!$1:$1,0)-1)</f>
        <v>Insulation thickness determined by inspection onsite / record or statement of owner</v>
      </c>
      <c r="BM116" s="24">
        <f ca="1">OFFSET(Tab.Uncertainty.Levels!$A$1,MATCH(BM$88,Tab.Uncertainty.Levels!$A:$A,0)-1,MATCH(BM$87&amp;"_"&amp;BK116,Tab.Uncertainty.Levels!$1:$1,0)-1)</f>
        <v>0.25</v>
      </c>
      <c r="BN116" s="34">
        <f ca="1">OFFSET(Tab.Uncertainty.Levels!$A$1,MATCH(BN$88,Tab.Uncertainty.Levels!$A:$A,0)-1,MATCH(BN$87&amp;"_"&amp;BK116,Tab.Uncertainty.Levels!$1:$1,0)-1)</f>
        <v>2</v>
      </c>
      <c r="BO116" s="13">
        <f ca="1">IFERROR(MIN(BM116,BN116/AN116),0)</f>
        <v>8.3333333333333329E-2</v>
      </c>
      <c r="BP116" s="32" t="str">
        <f>IF(OR($L116="NoDataSource",IFERROR(IF($V116="",#N/A,$V116),0)=0),IF(IFERROR(IF(U116="",#N/A,U116),0)=0,"E","D"),IF($L116="DesignDataPlusQA","A",IF($L116="DesignData","B","C")))</f>
        <v>C</v>
      </c>
      <c r="BQ116" s="20" t="str">
        <f ca="1">OFFSET(Tab.Uncertainty.Levels!$A$1,MATCH(BQ$88,Tab.Uncertainty.Levels!$A:$A,0)-1,MATCH(BQ$87&amp;"_"&amp;BP116,Tab.Uncertainty.Levels!$1:$1,0)-1)</f>
        <v>Thermal conductivity of Insulation determined by inspection onsite / record or statement of owner</v>
      </c>
      <c r="BR116" s="97">
        <f ca="1">OFFSET(Tab.Uncertainty.Levels!$A$1,MATCH(BR$88,Tab.Uncertainty.Levels!$A:$A,0)-1,MATCH(BR$87&amp;"_"&amp;BP116,Tab.Uncertainty.Levels!$1:$1,0)-1)</f>
        <v>0.15</v>
      </c>
      <c r="BS116" s="32" t="str">
        <f>IF(L116="NoDataSource","D",IF(IFERROR(IF($T116="",#N/A,$T116),0)=0,IF(OR(IFERROR(IF($S116="",#N/A,$S116),0)&gt;0,$R116="Refurbish"),"D","E"),IF($L116="DesignDataPlusQA","A",IF($L116="DesignData","B","C"))))</f>
        <v>C</v>
      </c>
      <c r="BT116" s="20" t="str">
        <f ca="1">OFFSET(Tab.Uncertainty.Levels!$A$1,MATCH(BT$88,Tab.Uncertainty.Levels!$A:$A,0)-1,MATCH(BT$87&amp;"_"&amp;BS116,Tab.Uncertainty.Levels!$1:$1,0)-1)</f>
        <v>Insulation fraction determined by inspection onsite / record or statement of owner</v>
      </c>
      <c r="BU116" s="33">
        <f ca="1">OFFSET(Tab.Uncertainty.Levels!$A$1,MATCH(BU$88,Tab.Uncertainty.Levels!$A:$A,0)-1,MATCH(BU$87&amp;"_"&amp;BS116,Tab.Uncertainty.Levels!$1:$1,0)-1)</f>
        <v>0.2</v>
      </c>
      <c r="BV116" s="13">
        <f ca="1">IFERROR(MIN(BU116/AW116,1,(1-AW116)/AW116),0)</f>
        <v>1</v>
      </c>
      <c r="BW116" s="96">
        <f ca="1">ABS(1+(AW116*(1/(1+AN116/100/AP116*AG116)^2-1)))*BJ116*$AG116</f>
        <v>0.36070661752924205</v>
      </c>
      <c r="BX116" s="96">
        <f ca="1">ABS(-AG116+1/(1/AG116+AN116/100/AP116))*BV116*AW116</f>
        <v>0.27341772151898736</v>
      </c>
      <c r="BY116" s="96">
        <f ca="1">ABS(-AW116*AP116/((AP116/AG116+AN116/100)^2))*(BO116*AN116/100)</f>
        <v>2.0189072264060253E-3</v>
      </c>
      <c r="BZ116" s="202">
        <f ca="1">ABS(AW116*AN116/100/(1/AG116*AP116+AN116/100)^2)*(BR116*AP116)</f>
        <v>3.6340330075308462E-3</v>
      </c>
      <c r="CA116" s="103">
        <f t="shared" ca="1" si="32"/>
        <v>0.45264091347591423</v>
      </c>
      <c r="CB116" s="37">
        <f t="shared" ca="1" si="11"/>
        <v>0.29407453854293208</v>
      </c>
      <c r="CC116" s="37">
        <f t="shared" ca="1" si="12"/>
        <v>0.22291021671826625</v>
      </c>
      <c r="CD116" s="37">
        <f t="shared" ca="1" si="13"/>
        <v>1.6459615158521774E-3</v>
      </c>
      <c r="CE116" s="37">
        <f t="shared" ca="1" si="14"/>
        <v>2.9627307285339196E-3</v>
      </c>
      <c r="CF116" s="13">
        <f t="shared" ca="1" si="15"/>
        <v>0.36902613172958948</v>
      </c>
      <c r="CG116" s="101">
        <f ca="1">AG116</f>
        <v>1.5</v>
      </c>
      <c r="CH116" s="101">
        <f>AW116</f>
        <v>0.2</v>
      </c>
      <c r="CI116" s="203">
        <f>IF(CH116&gt;0,AN116,0)</f>
        <v>24</v>
      </c>
      <c r="CJ116" s="102">
        <f>IF(AND(CH116&gt;0,CI116&gt;0),AP116,0)</f>
        <v>3.5000000000000003E-2</v>
      </c>
      <c r="CK116" s="102">
        <f ca="1">BB116</f>
        <v>1.2265822784810128</v>
      </c>
      <c r="CL116" s="37">
        <f t="shared" ca="1" si="16"/>
        <v>0.3</v>
      </c>
      <c r="CM116" s="37">
        <f t="shared" ca="1" si="17"/>
        <v>1</v>
      </c>
      <c r="CN116" s="37">
        <f t="shared" ca="1" si="18"/>
        <v>8.3333333333333329E-2</v>
      </c>
      <c r="CO116" s="37">
        <f t="shared" ca="1" si="19"/>
        <v>0.15</v>
      </c>
      <c r="CP116" s="37">
        <f t="shared" ca="1" si="20"/>
        <v>0.36902613172958948</v>
      </c>
      <c r="CQ116" s="95">
        <f t="shared" ca="1" si="21"/>
        <v>0.44999999999999996</v>
      </c>
      <c r="CR116" s="95">
        <f t="shared" ca="1" si="22"/>
        <v>0.2</v>
      </c>
      <c r="CS116" s="95">
        <f t="shared" ca="1" si="23"/>
        <v>2</v>
      </c>
      <c r="CT116" s="103">
        <f t="shared" ca="1" si="24"/>
        <v>5.2500000000000003E-3</v>
      </c>
      <c r="CU116" s="95">
        <f t="shared" ca="1" si="25"/>
        <v>0.45264091347591423</v>
      </c>
      <c r="CV116" s="37">
        <f ca="1">$CB116^2/$CF116^2</f>
        <v>0.63503930578603829</v>
      </c>
      <c r="CW116" s="37">
        <f ca="1">$CD116^2/$CF116^2</f>
        <v>1.9894137347234321E-5</v>
      </c>
      <c r="CX116" s="37">
        <f ca="1">$CE116^2/$CF116^2</f>
        <v>6.4457005005039212E-5</v>
      </c>
      <c r="CY116" s="37">
        <f ca="1">$CC116^2/$CF116^2</f>
        <v>0.36487634307160943</v>
      </c>
      <c r="DA116" s="98" t="s">
        <v>456</v>
      </c>
      <c r="DB116" s="35">
        <f ca="1">OFFSET($A$1,ROW(DB116)-1,MATCH(DA116,$1:$1,0)-1)</f>
        <v>0.2</v>
      </c>
      <c r="DC116" s="9">
        <f ca="1">BB116</f>
        <v>1.2265822784810128</v>
      </c>
      <c r="DD116" s="9">
        <f ca="1">$DC116+$CA116</f>
        <v>1.6792231919569269</v>
      </c>
      <c r="DE116" s="9">
        <f ca="1">$DC116-$CA116</f>
        <v>0.77394136500509858</v>
      </c>
      <c r="DF116" s="10">
        <f t="shared" ca="1" si="37"/>
        <v>0.36902613172958942</v>
      </c>
    </row>
    <row r="117" spans="1:110" s="8" customFormat="1" ht="32.4" customHeight="1">
      <c r="A117" s="206" t="s">
        <v>560</v>
      </c>
      <c r="B117" s="209" t="s">
        <v>2341</v>
      </c>
      <c r="C117" s="206" t="str">
        <f t="shared" si="40"/>
        <v>Parameter-Variation: f_Measure = 30%</v>
      </c>
      <c r="D117" s="206"/>
      <c r="E117" s="206" t="s">
        <v>197</v>
      </c>
      <c r="F117" s="206" t="str">
        <f t="shared" si="36"/>
        <v>30%</v>
      </c>
      <c r="G117" s="206" t="s">
        <v>2170</v>
      </c>
      <c r="H117" s="206" t="s">
        <v>2171</v>
      </c>
      <c r="I117" s="156" t="s">
        <v>80</v>
      </c>
      <c r="J117" s="156" t="s">
        <v>134</v>
      </c>
      <c r="K117" s="156" t="s">
        <v>155</v>
      </c>
      <c r="L117" s="156" t="s">
        <v>66</v>
      </c>
      <c r="M117" s="156" t="s">
        <v>188</v>
      </c>
      <c r="N117" s="7">
        <v>1925</v>
      </c>
      <c r="O117" s="156">
        <v>1</v>
      </c>
      <c r="P117" s="156">
        <v>0</v>
      </c>
      <c r="Q117" s="156" t="s">
        <v>435</v>
      </c>
      <c r="R117" s="156" t="s">
        <v>58</v>
      </c>
      <c r="S117" s="19">
        <v>24</v>
      </c>
      <c r="T117" s="19">
        <v>0.3</v>
      </c>
      <c r="U117" s="19">
        <v>2016</v>
      </c>
      <c r="V117" s="19">
        <v>3.5000000000000003E-2</v>
      </c>
      <c r="W117" s="28" t="s">
        <v>59</v>
      </c>
      <c r="X117" s="19" t="e">
        <v>#N/A</v>
      </c>
      <c r="Y117" s="105">
        <f ca="1">IFERROR(OFFSET(Tab.Const.ConstrBorder!$A$1,MATCH(Q117,Tab.Const.ConstrBorder!$A:$A,0)-1,MATCH(Y$87,Tab.Const.ConstrBorder!$1:$1,0)-1),0)</f>
        <v>0</v>
      </c>
      <c r="Z117" s="18">
        <f t="shared" si="27"/>
        <v>1925</v>
      </c>
      <c r="AA117" s="17">
        <f>MATCH(Z117,Tab.Year.Period!$11:$11,1)-3</f>
        <v>3</v>
      </c>
      <c r="AB117" s="17">
        <f>MATCH(AB$88&amp;"."&amp;TEXT(AA117,"00"),Tab.U.Default!$A:$A,0)</f>
        <v>26</v>
      </c>
      <c r="AC117" s="105">
        <f ca="1">OFFSET(Tab.U.Default!$A$1,$AB117-1,MATCH("U_Class_"&amp;IF($J117="TopCeiling","UpperCeiling",$J117)&amp;"_"&amp;AC$87,Tab.U.Default!$1:$1,0)-1)</f>
        <v>1.5</v>
      </c>
      <c r="AD117" s="105">
        <f ca="1">OFFSET(Tab.U.Default!$A$1,$AB117-1,MATCH("U_Class_"&amp;IF($J117="TopCeiling","UpperCeiling",$J117)&amp;"_"&amp;AD$87,Tab.U.Default!$1:$1,0)-1)</f>
        <v>1.5</v>
      </c>
      <c r="AE117" s="105">
        <f ca="1">OFFSET(Tab.U.Default!$A$1,$AB117-1,MATCH("U_Class_"&amp;IF($J117="TopCeiling","UpperCeiling",$J117)&amp;"_"&amp;AE$87,Tab.U.Default!$1:$1,0)-1)</f>
        <v>1.5</v>
      </c>
      <c r="AF117" s="26">
        <f t="shared" ca="1" si="0"/>
        <v>1.5</v>
      </c>
      <c r="AG117" s="26">
        <f t="shared" ca="1" si="1"/>
        <v>1.5</v>
      </c>
      <c r="AH117" s="18" t="str">
        <f t="shared" si="2"/>
        <v>Refurbish</v>
      </c>
      <c r="AI117" s="18" t="str">
        <f t="shared" si="28"/>
        <v>Add</v>
      </c>
      <c r="AJ117" s="18">
        <f t="shared" si="3"/>
        <v>2016</v>
      </c>
      <c r="AK117" s="17">
        <f>MATCH(AJ117,Tab.Year.Period!$11:$11,1)-3</f>
        <v>12</v>
      </c>
      <c r="AL117" s="17">
        <f>MATCH(AL$88&amp;"."&amp;TEXT(AK117,"00"),Tab.Insulation.Default!$A:$A,0)</f>
        <v>23</v>
      </c>
      <c r="AM117" s="20" t="e">
        <f ca="1">IF(ISNA(IF(S117="",#N/A,S117)),OFFSET(Tab.Insulation.Default!$A$1,$AL117-1,MATCH(AM$87&amp;"_"&amp;$K117,Tab.Insulation.Default!$1:$1,0)-1),#N/A)</f>
        <v>#N/A</v>
      </c>
      <c r="AN117" s="27">
        <f t="shared" si="29"/>
        <v>24</v>
      </c>
      <c r="AO117" s="22" t="e">
        <f ca="1">IF(ISNA(IF(V117="",#N/A,V117)),OFFSET(Tab.Insulation.Default!$A$1,$AL117-1,MATCH(AO$87&amp;"_"&amp;$K117,Tab.Insulation.Default!$1:$1,0)-1),#N/A)</f>
        <v>#N/A</v>
      </c>
      <c r="AP117" s="23">
        <f t="shared" si="30"/>
        <v>3.5000000000000003E-2</v>
      </c>
      <c r="AQ117" s="29" t="str">
        <f t="shared" si="4"/>
        <v>Gen.Refurbished.12</v>
      </c>
      <c r="AR117" s="17">
        <f>MATCH(AR$88&amp;"."&amp;AQ117,Tab.Measure.f.Default!$A:$A,0)</f>
        <v>23</v>
      </c>
      <c r="AS117" s="21">
        <f ca="1">OFFSET(Tab.Measure.f.Default!$A$1,AR117-1,MATCH(AS$87&amp;"_"&amp;$J117,Tab.Measure.f.Default!$1:$1,0)-1)</f>
        <v>0.75</v>
      </c>
      <c r="AT117" s="29" t="str">
        <f t="shared" si="5"/>
        <v>MUH.NA.03</v>
      </c>
      <c r="AU117" s="17">
        <f>MATCH(AU$88&amp;"."&amp;AT117,Tab.Measure.f.Default!$A:$A,0)</f>
        <v>38</v>
      </c>
      <c r="AV117" s="21">
        <f ca="1">OFFSET(Tab.Measure.f.Default!$A$1,AU117-1,MATCH(AV$87&amp;"_"&amp;$J117,Tab.Measure.f.Default!$1:$1,0)-1)</f>
        <v>0.37</v>
      </c>
      <c r="AW117" s="30">
        <f t="shared" si="33"/>
        <v>0.3</v>
      </c>
      <c r="AX117" s="9">
        <f t="shared" ca="1" si="6"/>
        <v>0.66666666666666663</v>
      </c>
      <c r="AY117" s="9">
        <f t="shared" si="7"/>
        <v>6.8571428571428559</v>
      </c>
      <c r="AZ117" s="9">
        <f t="shared" ca="1" si="41"/>
        <v>7.5238095238095228</v>
      </c>
      <c r="BA117" s="9">
        <f t="shared" ca="1" si="42"/>
        <v>0.13291139240506331</v>
      </c>
      <c r="BB117" s="9">
        <f t="shared" ca="1" si="8"/>
        <v>1.0898734177215188</v>
      </c>
      <c r="BC117" s="32" t="str">
        <f t="shared" si="9"/>
        <v>D</v>
      </c>
      <c r="BD117" s="20" t="str">
        <f ca="1">OFFSET(Tab.Uncertainty.Levels!$A$1,MATCH(BD$88,Tab.Uncertainty.Levels!$A:$A,0)-1,MATCH(BD$87&amp;"_"&amp;BC117,Tab.Uncertainty.Levels!$1:$1,0)-1)</f>
        <v>Use of default values; building constructed until 1983</v>
      </c>
      <c r="BE117" s="24">
        <f ca="1">OFFSET(Tab.Uncertainty.Levels!$A$1,MATCH(BE$88,Tab.Uncertainty.Levels!$A:$A,0)-1,MATCH(BE$87&amp;"_"&amp;BC117,Tab.Uncertainty.Levels!$1:$1,0)-1)</f>
        <v>0.3</v>
      </c>
      <c r="BF117" s="32" t="str">
        <f t="shared" si="10"/>
        <v>-</v>
      </c>
      <c r="BG117" s="20" t="e">
        <f ca="1">OFFSET(Tab.Uncertainty.Levels!$A$1,MATCH(BG$88,Tab.Uncertainty.Levels!$A:$A,0)-1,MATCH(BG$87&amp;"_"&amp;BF117,Tab.Uncertainty.Levels!$1:$1,0)-1)</f>
        <v>#N/A</v>
      </c>
      <c r="BH117" s="24" t="e">
        <f ca="1">OFFSET(Tab.Uncertainty.Levels!$A$1,MATCH(BH$88,Tab.Uncertainty.Levels!$A:$A,0)-1,MATCH(BH$87&amp;"_"&amp;BF117,Tab.Uncertainty.Levels!$1:$1,0)-1)</f>
        <v>#N/A</v>
      </c>
      <c r="BI117" s="32" t="str">
        <f t="shared" si="31"/>
        <v>D</v>
      </c>
      <c r="BJ117" s="13">
        <f ca="1">IF(BF117="-",BE117,BH117)</f>
        <v>0.3</v>
      </c>
      <c r="BK117" s="32" t="str">
        <f>IF(OR($L117="NoDataSource",IFERROR(IF($S117="",#N/A,$S117),0)=0),IF(IFERROR(IF(U117="",#N/A,U117),0)=0,"E","D"),IF($L117="DesignDataPlusQA","A",IF($L117="DesignData","B","C")))</f>
        <v>C</v>
      </c>
      <c r="BL117" s="20" t="str">
        <f ca="1">OFFSET(Tab.Uncertainty.Levels!$A$1,MATCH(BL$88,Tab.Uncertainty.Levels!$A:$A,0)-1,MATCH(BL$87&amp;"_"&amp;BK117,Tab.Uncertainty.Levels!$1:$1,0)-1)</f>
        <v>Insulation thickness determined by inspection onsite / record or statement of owner</v>
      </c>
      <c r="BM117" s="24">
        <f ca="1">OFFSET(Tab.Uncertainty.Levels!$A$1,MATCH(BM$88,Tab.Uncertainty.Levels!$A:$A,0)-1,MATCH(BM$87&amp;"_"&amp;BK117,Tab.Uncertainty.Levels!$1:$1,0)-1)</f>
        <v>0.25</v>
      </c>
      <c r="BN117" s="34">
        <f ca="1">OFFSET(Tab.Uncertainty.Levels!$A$1,MATCH(BN$88,Tab.Uncertainty.Levels!$A:$A,0)-1,MATCH(BN$87&amp;"_"&amp;BK117,Tab.Uncertainty.Levels!$1:$1,0)-1)</f>
        <v>2</v>
      </c>
      <c r="BO117" s="13">
        <f ca="1">IFERROR(MIN(BM117,BN117/AN117),0)</f>
        <v>8.3333333333333329E-2</v>
      </c>
      <c r="BP117" s="32" t="str">
        <f>IF(OR($L117="NoDataSource",IFERROR(IF($V117="",#N/A,$V117),0)=0),IF(IFERROR(IF(U117="",#N/A,U117),0)=0,"E","D"),IF($L117="DesignDataPlusQA","A",IF($L117="DesignData","B","C")))</f>
        <v>C</v>
      </c>
      <c r="BQ117" s="20" t="str">
        <f ca="1">OFFSET(Tab.Uncertainty.Levels!$A$1,MATCH(BQ$88,Tab.Uncertainty.Levels!$A:$A,0)-1,MATCH(BQ$87&amp;"_"&amp;BP117,Tab.Uncertainty.Levels!$1:$1,0)-1)</f>
        <v>Thermal conductivity of Insulation determined by inspection onsite / record or statement of owner</v>
      </c>
      <c r="BR117" s="97">
        <f ca="1">OFFSET(Tab.Uncertainty.Levels!$A$1,MATCH(BR$88,Tab.Uncertainty.Levels!$A:$A,0)-1,MATCH(BR$87&amp;"_"&amp;BP117,Tab.Uncertainty.Levels!$1:$1,0)-1)</f>
        <v>0.15</v>
      </c>
      <c r="BS117" s="32" t="str">
        <f>IF(L117="NoDataSource","D",IF(IFERROR(IF($T117="",#N/A,$T117),0)=0,IF(OR(IFERROR(IF($S117="",#N/A,$S117),0)&gt;0,$R117="Refurbish"),"D","E"),IF($L117="DesignDataPlusQA","A",IF($L117="DesignData","B","C"))))</f>
        <v>C</v>
      </c>
      <c r="BT117" s="20" t="str">
        <f ca="1">OFFSET(Tab.Uncertainty.Levels!$A$1,MATCH(BT$88,Tab.Uncertainty.Levels!$A:$A,0)-1,MATCH(BT$87&amp;"_"&amp;BS117,Tab.Uncertainty.Levels!$1:$1,0)-1)</f>
        <v>Insulation fraction determined by inspection onsite / record or statement of owner</v>
      </c>
      <c r="BU117" s="33">
        <f ca="1">OFFSET(Tab.Uncertainty.Levels!$A$1,MATCH(BU$88,Tab.Uncertainty.Levels!$A:$A,0)-1,MATCH(BU$87&amp;"_"&amp;BS117,Tab.Uncertainty.Levels!$1:$1,0)-1)</f>
        <v>0.2</v>
      </c>
      <c r="BV117" s="13">
        <f ca="1">IFERROR(MIN(BU117/AW117,1,(1-AW117)/AW117),0)</f>
        <v>0.66666666666666674</v>
      </c>
      <c r="BW117" s="96">
        <f ca="1">ABS(1+(AW117*(1/(1+AN117/100/AP117*AG117)^2-1)))*BJ117*$AG117</f>
        <v>0.31605992629386315</v>
      </c>
      <c r="BX117" s="96">
        <f ca="1">ABS(-AG117+1/(1/AG117+AN117/100/AP117))*BV117*AW117</f>
        <v>0.27341772151898736</v>
      </c>
      <c r="BY117" s="96">
        <f ca="1">ABS(-AW117*AP117/((AP117/AG117+AN117/100)^2))*(BO117*AN117/100)</f>
        <v>3.028360839609038E-3</v>
      </c>
      <c r="BZ117" s="202">
        <f ca="1">ABS(AW117*AN117/100/(1/AG117*AP117+AN117/100)^2)*(BR117*AP117)</f>
        <v>5.4510495112962678E-3</v>
      </c>
      <c r="CA117" s="103">
        <f t="shared" ca="1" si="32"/>
        <v>0.41795934295056286</v>
      </c>
      <c r="CB117" s="37">
        <f t="shared" ca="1" si="11"/>
        <v>0.28999691262735416</v>
      </c>
      <c r="CC117" s="37">
        <f t="shared" ca="1" si="12"/>
        <v>0.25087108013937287</v>
      </c>
      <c r="CD117" s="37">
        <f t="shared" ca="1" si="13"/>
        <v>2.7786353812905232E-3</v>
      </c>
      <c r="CE117" s="37">
        <f t="shared" ca="1" si="14"/>
        <v>5.001543686322941E-3</v>
      </c>
      <c r="CF117" s="13">
        <f t="shared" ca="1" si="15"/>
        <v>0.38349347378739224</v>
      </c>
      <c r="CG117" s="101">
        <f ca="1">AG117</f>
        <v>1.5</v>
      </c>
      <c r="CH117" s="101">
        <f>AW117</f>
        <v>0.3</v>
      </c>
      <c r="CI117" s="203">
        <f>IF(CH117&gt;0,AN117,0)</f>
        <v>24</v>
      </c>
      <c r="CJ117" s="102">
        <f>IF(AND(CH117&gt;0,CI117&gt;0),AP117,0)</f>
        <v>3.5000000000000003E-2</v>
      </c>
      <c r="CK117" s="102">
        <f ca="1">BB117</f>
        <v>1.0898734177215188</v>
      </c>
      <c r="CL117" s="37">
        <f t="shared" ca="1" si="16"/>
        <v>0.3</v>
      </c>
      <c r="CM117" s="37">
        <f t="shared" ca="1" si="17"/>
        <v>0.66666666666666674</v>
      </c>
      <c r="CN117" s="37">
        <f t="shared" ca="1" si="18"/>
        <v>8.3333333333333329E-2</v>
      </c>
      <c r="CO117" s="37">
        <f t="shared" ca="1" si="19"/>
        <v>0.15</v>
      </c>
      <c r="CP117" s="37">
        <f t="shared" ca="1" si="20"/>
        <v>0.38349347378739224</v>
      </c>
      <c r="CQ117" s="95">
        <f t="shared" ca="1" si="21"/>
        <v>0.44999999999999996</v>
      </c>
      <c r="CR117" s="95">
        <f t="shared" ca="1" si="22"/>
        <v>0.2</v>
      </c>
      <c r="CS117" s="95">
        <f t="shared" ca="1" si="23"/>
        <v>2</v>
      </c>
      <c r="CT117" s="103">
        <f t="shared" ca="1" si="24"/>
        <v>5.2500000000000003E-3</v>
      </c>
      <c r="CU117" s="95">
        <f t="shared" ca="1" si="25"/>
        <v>0.41795934295056286</v>
      </c>
      <c r="CV117" s="37">
        <f ca="1">$CB117^2/$CF117^2</f>
        <v>0.57183507894665697</v>
      </c>
      <c r="CW117" s="37">
        <f ca="1">$CD117^2/$CF117^2</f>
        <v>5.2498532978494561E-5</v>
      </c>
      <c r="CX117" s="37">
        <f ca="1">$CE117^2/$CF117^2</f>
        <v>1.7009524685032232E-4</v>
      </c>
      <c r="CY117" s="37">
        <f ca="1">$CC117^2/$CF117^2</f>
        <v>0.42794232727351417</v>
      </c>
      <c r="DA117" s="98" t="s">
        <v>456</v>
      </c>
      <c r="DB117" s="35">
        <f ca="1">OFFSET($A$1,ROW(DB117)-1,MATCH(DA117,$1:$1,0)-1)</f>
        <v>0.3</v>
      </c>
      <c r="DC117" s="9">
        <f ca="1">BB117</f>
        <v>1.0898734177215188</v>
      </c>
      <c r="DD117" s="9">
        <f ca="1">$DC117+$CA117</f>
        <v>1.5078327606720816</v>
      </c>
      <c r="DE117" s="9">
        <f ca="1">$DC117-$CA117</f>
        <v>0.67191407477095599</v>
      </c>
      <c r="DF117" s="10">
        <f t="shared" ca="1" si="37"/>
        <v>0.38349347378739218</v>
      </c>
    </row>
    <row r="118" spans="1:110" s="8" customFormat="1" ht="32.4" customHeight="1">
      <c r="A118" s="206" t="s">
        <v>560</v>
      </c>
      <c r="B118" s="209" t="s">
        <v>2341</v>
      </c>
      <c r="C118" s="206" t="str">
        <f t="shared" si="40"/>
        <v>Parameter-Variation: f_Measure = 40%</v>
      </c>
      <c r="D118" s="206"/>
      <c r="E118" s="206" t="s">
        <v>197</v>
      </c>
      <c r="F118" s="206" t="str">
        <f t="shared" si="36"/>
        <v>40%</v>
      </c>
      <c r="G118" s="206" t="s">
        <v>2170</v>
      </c>
      <c r="H118" s="206" t="s">
        <v>2171</v>
      </c>
      <c r="I118" s="156" t="s">
        <v>80</v>
      </c>
      <c r="J118" s="156" t="s">
        <v>134</v>
      </c>
      <c r="K118" s="156" t="s">
        <v>155</v>
      </c>
      <c r="L118" s="156" t="s">
        <v>66</v>
      </c>
      <c r="M118" s="156" t="s">
        <v>188</v>
      </c>
      <c r="N118" s="7">
        <v>1925</v>
      </c>
      <c r="O118" s="156">
        <v>1</v>
      </c>
      <c r="P118" s="156">
        <v>0</v>
      </c>
      <c r="Q118" s="156" t="s">
        <v>435</v>
      </c>
      <c r="R118" s="156" t="s">
        <v>58</v>
      </c>
      <c r="S118" s="19">
        <v>24</v>
      </c>
      <c r="T118" s="19">
        <v>0.4</v>
      </c>
      <c r="U118" s="19">
        <v>2016</v>
      </c>
      <c r="V118" s="19">
        <v>3.5000000000000003E-2</v>
      </c>
      <c r="W118" s="28" t="s">
        <v>59</v>
      </c>
      <c r="X118" s="19" t="e">
        <v>#N/A</v>
      </c>
      <c r="Y118" s="105">
        <f ca="1">IFERROR(OFFSET(Tab.Const.ConstrBorder!$A$1,MATCH(Q118,Tab.Const.ConstrBorder!$A:$A,0)-1,MATCH(Y$87,Tab.Const.ConstrBorder!$1:$1,0)-1),0)</f>
        <v>0</v>
      </c>
      <c r="Z118" s="18">
        <f t="shared" si="27"/>
        <v>1925</v>
      </c>
      <c r="AA118" s="17">
        <f>MATCH(Z118,Tab.Year.Period!$11:$11,1)-3</f>
        <v>3</v>
      </c>
      <c r="AB118" s="17">
        <f>MATCH(AB$88&amp;"."&amp;TEXT(AA118,"00"),Tab.U.Default!$A:$A,0)</f>
        <v>26</v>
      </c>
      <c r="AC118" s="105">
        <f ca="1">OFFSET(Tab.U.Default!$A$1,$AB118-1,MATCH("U_Class_"&amp;IF($J118="TopCeiling","UpperCeiling",$J118)&amp;"_"&amp;AC$87,Tab.U.Default!$1:$1,0)-1)</f>
        <v>1.5</v>
      </c>
      <c r="AD118" s="105">
        <f ca="1">OFFSET(Tab.U.Default!$A$1,$AB118-1,MATCH("U_Class_"&amp;IF($J118="TopCeiling","UpperCeiling",$J118)&amp;"_"&amp;AD$87,Tab.U.Default!$1:$1,0)-1)</f>
        <v>1.5</v>
      </c>
      <c r="AE118" s="105">
        <f ca="1">OFFSET(Tab.U.Default!$A$1,$AB118-1,MATCH("U_Class_"&amp;IF($J118="TopCeiling","UpperCeiling",$J118)&amp;"_"&amp;AE$87,Tab.U.Default!$1:$1,0)-1)</f>
        <v>1.5</v>
      </c>
      <c r="AF118" s="26">
        <f t="shared" ca="1" si="0"/>
        <v>1.5</v>
      </c>
      <c r="AG118" s="26">
        <f t="shared" ca="1" si="1"/>
        <v>1.5</v>
      </c>
      <c r="AH118" s="18" t="str">
        <f t="shared" si="2"/>
        <v>Refurbish</v>
      </c>
      <c r="AI118" s="18" t="str">
        <f t="shared" si="28"/>
        <v>Add</v>
      </c>
      <c r="AJ118" s="18">
        <f t="shared" si="3"/>
        <v>2016</v>
      </c>
      <c r="AK118" s="17">
        <f>MATCH(AJ118,Tab.Year.Period!$11:$11,1)-3</f>
        <v>12</v>
      </c>
      <c r="AL118" s="17">
        <f>MATCH(AL$88&amp;"."&amp;TEXT(AK118,"00"),Tab.Insulation.Default!$A:$A,0)</f>
        <v>23</v>
      </c>
      <c r="AM118" s="20" t="e">
        <f ca="1">IF(ISNA(IF(S118="",#N/A,S118)),OFFSET(Tab.Insulation.Default!$A$1,$AL118-1,MATCH(AM$87&amp;"_"&amp;$K118,Tab.Insulation.Default!$1:$1,0)-1),#N/A)</f>
        <v>#N/A</v>
      </c>
      <c r="AN118" s="27">
        <f t="shared" si="29"/>
        <v>24</v>
      </c>
      <c r="AO118" s="22" t="e">
        <f ca="1">IF(ISNA(IF(V118="",#N/A,V118)),OFFSET(Tab.Insulation.Default!$A$1,$AL118-1,MATCH(AO$87&amp;"_"&amp;$K118,Tab.Insulation.Default!$1:$1,0)-1),#N/A)</f>
        <v>#N/A</v>
      </c>
      <c r="AP118" s="23">
        <f t="shared" si="30"/>
        <v>3.5000000000000003E-2</v>
      </c>
      <c r="AQ118" s="29" t="str">
        <f t="shared" si="4"/>
        <v>Gen.Refurbished.12</v>
      </c>
      <c r="AR118" s="17">
        <f>MATCH(AR$88&amp;"."&amp;AQ118,Tab.Measure.f.Default!$A:$A,0)</f>
        <v>23</v>
      </c>
      <c r="AS118" s="21">
        <f ca="1">OFFSET(Tab.Measure.f.Default!$A$1,AR118-1,MATCH(AS$87&amp;"_"&amp;$J118,Tab.Measure.f.Default!$1:$1,0)-1)</f>
        <v>0.75</v>
      </c>
      <c r="AT118" s="29" t="str">
        <f t="shared" si="5"/>
        <v>MUH.NA.03</v>
      </c>
      <c r="AU118" s="17">
        <f>MATCH(AU$88&amp;"."&amp;AT118,Tab.Measure.f.Default!$A:$A,0)</f>
        <v>38</v>
      </c>
      <c r="AV118" s="21">
        <f ca="1">OFFSET(Tab.Measure.f.Default!$A$1,AU118-1,MATCH(AV$87&amp;"_"&amp;$J118,Tab.Measure.f.Default!$1:$1,0)-1)</f>
        <v>0.37</v>
      </c>
      <c r="AW118" s="30">
        <f t="shared" si="33"/>
        <v>0.4</v>
      </c>
      <c r="AX118" s="9">
        <f t="shared" ca="1" si="6"/>
        <v>0.66666666666666663</v>
      </c>
      <c r="AY118" s="9">
        <f t="shared" si="7"/>
        <v>6.8571428571428559</v>
      </c>
      <c r="AZ118" s="9">
        <f t="shared" ca="1" si="41"/>
        <v>7.5238095238095228</v>
      </c>
      <c r="BA118" s="9">
        <f t="shared" ca="1" si="42"/>
        <v>0.13291139240506331</v>
      </c>
      <c r="BB118" s="9">
        <f t="shared" ca="1" si="8"/>
        <v>0.95316455696202529</v>
      </c>
      <c r="BC118" s="32" t="str">
        <f t="shared" si="9"/>
        <v>D</v>
      </c>
      <c r="BD118" s="20" t="str">
        <f ca="1">OFFSET(Tab.Uncertainty.Levels!$A$1,MATCH(BD$88,Tab.Uncertainty.Levels!$A:$A,0)-1,MATCH(BD$87&amp;"_"&amp;BC118,Tab.Uncertainty.Levels!$1:$1,0)-1)</f>
        <v>Use of default values; building constructed until 1983</v>
      </c>
      <c r="BE118" s="24">
        <f ca="1">OFFSET(Tab.Uncertainty.Levels!$A$1,MATCH(BE$88,Tab.Uncertainty.Levels!$A:$A,0)-1,MATCH(BE$87&amp;"_"&amp;BC118,Tab.Uncertainty.Levels!$1:$1,0)-1)</f>
        <v>0.3</v>
      </c>
      <c r="BF118" s="32" t="str">
        <f t="shared" si="10"/>
        <v>-</v>
      </c>
      <c r="BG118" s="20" t="e">
        <f ca="1">OFFSET(Tab.Uncertainty.Levels!$A$1,MATCH(BG$88,Tab.Uncertainty.Levels!$A:$A,0)-1,MATCH(BG$87&amp;"_"&amp;BF118,Tab.Uncertainty.Levels!$1:$1,0)-1)</f>
        <v>#N/A</v>
      </c>
      <c r="BH118" s="24" t="e">
        <f ca="1">OFFSET(Tab.Uncertainty.Levels!$A$1,MATCH(BH$88,Tab.Uncertainty.Levels!$A:$A,0)-1,MATCH(BH$87&amp;"_"&amp;BF118,Tab.Uncertainty.Levels!$1:$1,0)-1)</f>
        <v>#N/A</v>
      </c>
      <c r="BI118" s="32" t="str">
        <f t="shared" si="31"/>
        <v>D</v>
      </c>
      <c r="BJ118" s="13">
        <f ca="1">IF(BF118="-",BE118,BH118)</f>
        <v>0.3</v>
      </c>
      <c r="BK118" s="32" t="str">
        <f>IF(OR($L118="NoDataSource",IFERROR(IF($S118="",#N/A,$S118),0)=0),IF(IFERROR(IF(U118="",#N/A,U118),0)=0,"E","D"),IF($L118="DesignDataPlusQA","A",IF($L118="DesignData","B","C")))</f>
        <v>C</v>
      </c>
      <c r="BL118" s="20" t="str">
        <f ca="1">OFFSET(Tab.Uncertainty.Levels!$A$1,MATCH(BL$88,Tab.Uncertainty.Levels!$A:$A,0)-1,MATCH(BL$87&amp;"_"&amp;BK118,Tab.Uncertainty.Levels!$1:$1,0)-1)</f>
        <v>Insulation thickness determined by inspection onsite / record or statement of owner</v>
      </c>
      <c r="BM118" s="24">
        <f ca="1">OFFSET(Tab.Uncertainty.Levels!$A$1,MATCH(BM$88,Tab.Uncertainty.Levels!$A:$A,0)-1,MATCH(BM$87&amp;"_"&amp;BK118,Tab.Uncertainty.Levels!$1:$1,0)-1)</f>
        <v>0.25</v>
      </c>
      <c r="BN118" s="34">
        <f ca="1">OFFSET(Tab.Uncertainty.Levels!$A$1,MATCH(BN$88,Tab.Uncertainty.Levels!$A:$A,0)-1,MATCH(BN$87&amp;"_"&amp;BK118,Tab.Uncertainty.Levels!$1:$1,0)-1)</f>
        <v>2</v>
      </c>
      <c r="BO118" s="13">
        <f ca="1">IFERROR(MIN(BM118,BN118/AN118),0)</f>
        <v>8.3333333333333329E-2</v>
      </c>
      <c r="BP118" s="32" t="str">
        <f>IF(OR($L118="NoDataSource",IFERROR(IF($V118="",#N/A,$V118),0)=0),IF(IFERROR(IF(U118="",#N/A,U118),0)=0,"E","D"),IF($L118="DesignDataPlusQA","A",IF($L118="DesignData","B","C")))</f>
        <v>C</v>
      </c>
      <c r="BQ118" s="20" t="str">
        <f ca="1">OFFSET(Tab.Uncertainty.Levels!$A$1,MATCH(BQ$88,Tab.Uncertainty.Levels!$A:$A,0)-1,MATCH(BQ$87&amp;"_"&amp;BP118,Tab.Uncertainty.Levels!$1:$1,0)-1)</f>
        <v>Thermal conductivity of Insulation determined by inspection onsite / record or statement of owner</v>
      </c>
      <c r="BR118" s="97">
        <f ca="1">OFFSET(Tab.Uncertainty.Levels!$A$1,MATCH(BR$88,Tab.Uncertainty.Levels!$A:$A,0)-1,MATCH(BR$87&amp;"_"&amp;BP118,Tab.Uncertainty.Levels!$1:$1,0)-1)</f>
        <v>0.15</v>
      </c>
      <c r="BS118" s="32" t="str">
        <f>IF(L118="NoDataSource","D",IF(IFERROR(IF($T118="",#N/A,$T118),0)=0,IF(OR(IFERROR(IF($S118="",#N/A,$S118),0)&gt;0,$R118="Refurbish"),"D","E"),IF($L118="DesignDataPlusQA","A",IF($L118="DesignData","B","C"))))</f>
        <v>C</v>
      </c>
      <c r="BT118" s="20" t="str">
        <f ca="1">OFFSET(Tab.Uncertainty.Levels!$A$1,MATCH(BT$88,Tab.Uncertainty.Levels!$A:$A,0)-1,MATCH(BT$87&amp;"_"&amp;BS118,Tab.Uncertainty.Levels!$1:$1,0)-1)</f>
        <v>Insulation fraction determined by inspection onsite / record or statement of owner</v>
      </c>
      <c r="BU118" s="33">
        <f ca="1">OFFSET(Tab.Uncertainty.Levels!$A$1,MATCH(BU$88,Tab.Uncertainty.Levels!$A:$A,0)-1,MATCH(BU$87&amp;"_"&amp;BS118,Tab.Uncertainty.Levels!$1:$1,0)-1)</f>
        <v>0.2</v>
      </c>
      <c r="BV118" s="13">
        <f ca="1">IFERROR(MIN(BU118/AW118,1,(1-AW118)/AW118),0)</f>
        <v>0.5</v>
      </c>
      <c r="BW118" s="96">
        <f ca="1">ABS(1+(AW118*(1/(1+AN118/100/AP118*AG118)^2-1)))*BJ118*$AG118</f>
        <v>0.27141323505848414</v>
      </c>
      <c r="BX118" s="96">
        <f ca="1">ABS(-AG118+1/(1/AG118+AN118/100/AP118))*BV118*AW118</f>
        <v>0.27341772151898736</v>
      </c>
      <c r="BY118" s="96">
        <f ca="1">ABS(-AW118*AP118/((AP118/AG118+AN118/100)^2))*(BO118*AN118/100)</f>
        <v>4.0378144528120507E-3</v>
      </c>
      <c r="BZ118" s="202">
        <f ca="1">ABS(AW118*AN118/100/(1/AG118*AP118+AN118/100)^2)*(BR118*AP118)</f>
        <v>7.2680660150616925E-3</v>
      </c>
      <c r="CA118" s="103">
        <f t="shared" ca="1" si="32"/>
        <v>0.38534597874468751</v>
      </c>
      <c r="CB118" s="37">
        <f t="shared" ca="1" si="11"/>
        <v>0.28474960915830344</v>
      </c>
      <c r="CC118" s="37">
        <f t="shared" ca="1" si="12"/>
        <v>0.28685258964143429</v>
      </c>
      <c r="CD118" s="37">
        <f t="shared" ca="1" si="13"/>
        <v>4.236219678249031E-3</v>
      </c>
      <c r="CE118" s="37">
        <f t="shared" ca="1" si="14"/>
        <v>7.6251954208482568E-3</v>
      </c>
      <c r="CF118" s="13">
        <f t="shared" ca="1" si="15"/>
        <v>0.4042806417108939</v>
      </c>
      <c r="CG118" s="101">
        <f ca="1">AG118</f>
        <v>1.5</v>
      </c>
      <c r="CH118" s="101">
        <f>AW118</f>
        <v>0.4</v>
      </c>
      <c r="CI118" s="203">
        <f>IF(CH118&gt;0,AN118,0)</f>
        <v>24</v>
      </c>
      <c r="CJ118" s="102">
        <f>IF(AND(CH118&gt;0,CI118&gt;0),AP118,0)</f>
        <v>3.5000000000000003E-2</v>
      </c>
      <c r="CK118" s="102">
        <f ca="1">BB118</f>
        <v>0.95316455696202529</v>
      </c>
      <c r="CL118" s="37">
        <f t="shared" ca="1" si="16"/>
        <v>0.3</v>
      </c>
      <c r="CM118" s="37">
        <f t="shared" ca="1" si="17"/>
        <v>0.5</v>
      </c>
      <c r="CN118" s="37">
        <f t="shared" ca="1" si="18"/>
        <v>8.3333333333333329E-2</v>
      </c>
      <c r="CO118" s="37">
        <f t="shared" ca="1" si="19"/>
        <v>0.15</v>
      </c>
      <c r="CP118" s="37">
        <f t="shared" ca="1" si="20"/>
        <v>0.4042806417108939</v>
      </c>
      <c r="CQ118" s="95">
        <f t="shared" ca="1" si="21"/>
        <v>0.44999999999999996</v>
      </c>
      <c r="CR118" s="95">
        <f t="shared" ca="1" si="22"/>
        <v>0.2</v>
      </c>
      <c r="CS118" s="95">
        <f t="shared" ca="1" si="23"/>
        <v>2</v>
      </c>
      <c r="CT118" s="103">
        <f t="shared" ca="1" si="24"/>
        <v>5.2500000000000003E-3</v>
      </c>
      <c r="CU118" s="95">
        <f t="shared" ca="1" si="25"/>
        <v>0.38534597874468746</v>
      </c>
      <c r="CV118" s="37">
        <f ca="1">$CB118^2/$CF118^2</f>
        <v>0.49608989463236997</v>
      </c>
      <c r="CW118" s="37">
        <f ca="1">$CD118^2/$CF118^2</f>
        <v>1.0979714659259474E-4</v>
      </c>
      <c r="CX118" s="37">
        <f ca="1">$CE118^2/$CF118^2</f>
        <v>3.5574275496000709E-4</v>
      </c>
      <c r="CY118" s="37">
        <f ca="1">$CC118^2/$CF118^2</f>
        <v>0.50344456546607763</v>
      </c>
      <c r="DA118" s="98" t="s">
        <v>456</v>
      </c>
      <c r="DB118" s="35">
        <f ca="1">OFFSET($A$1,ROW(DB118)-1,MATCH(DA118,$1:$1,0)-1)</f>
        <v>0.4</v>
      </c>
      <c r="DC118" s="9">
        <f ca="1">BB118</f>
        <v>0.95316455696202529</v>
      </c>
      <c r="DD118" s="9">
        <f ca="1">$DC118+$CA118</f>
        <v>1.3385105357067129</v>
      </c>
      <c r="DE118" s="9">
        <f ca="1">$DC118-$CA118</f>
        <v>0.56781857821733772</v>
      </c>
      <c r="DF118" s="10">
        <f t="shared" ca="1" si="37"/>
        <v>0.40428064171089401</v>
      </c>
    </row>
    <row r="119" spans="1:110" s="8" customFormat="1" ht="32.4" customHeight="1">
      <c r="A119" s="206" t="s">
        <v>560</v>
      </c>
      <c r="B119" s="209" t="s">
        <v>2341</v>
      </c>
      <c r="C119" s="206" t="str">
        <f t="shared" si="40"/>
        <v>Parameter-Variation: f_Measure = 50%</v>
      </c>
      <c r="D119" s="206"/>
      <c r="E119" s="206" t="s">
        <v>197</v>
      </c>
      <c r="F119" s="206" t="str">
        <f t="shared" si="36"/>
        <v>50%</v>
      </c>
      <c r="G119" s="206" t="s">
        <v>2170</v>
      </c>
      <c r="H119" s="206" t="s">
        <v>2171</v>
      </c>
      <c r="I119" s="156" t="s">
        <v>80</v>
      </c>
      <c r="J119" s="156" t="s">
        <v>134</v>
      </c>
      <c r="K119" s="156" t="s">
        <v>155</v>
      </c>
      <c r="L119" s="156" t="s">
        <v>66</v>
      </c>
      <c r="M119" s="156" t="s">
        <v>188</v>
      </c>
      <c r="N119" s="7">
        <v>1925</v>
      </c>
      <c r="O119" s="156">
        <v>1</v>
      </c>
      <c r="P119" s="156">
        <v>0</v>
      </c>
      <c r="Q119" s="156" t="s">
        <v>435</v>
      </c>
      <c r="R119" s="156" t="s">
        <v>58</v>
      </c>
      <c r="S119" s="19">
        <v>24</v>
      </c>
      <c r="T119" s="19">
        <v>0.5</v>
      </c>
      <c r="U119" s="19">
        <v>2016</v>
      </c>
      <c r="V119" s="19">
        <v>3.5000000000000003E-2</v>
      </c>
      <c r="W119" s="28" t="s">
        <v>59</v>
      </c>
      <c r="X119" s="19" t="e">
        <v>#N/A</v>
      </c>
      <c r="Y119" s="105">
        <f ca="1">IFERROR(OFFSET(Tab.Const.ConstrBorder!$A$1,MATCH(Q119,Tab.Const.ConstrBorder!$A:$A,0)-1,MATCH(Y$87,Tab.Const.ConstrBorder!$1:$1,0)-1),0)</f>
        <v>0</v>
      </c>
      <c r="Z119" s="18">
        <f t="shared" si="27"/>
        <v>1925</v>
      </c>
      <c r="AA119" s="17">
        <f>MATCH(Z119,Tab.Year.Period!$11:$11,1)-3</f>
        <v>3</v>
      </c>
      <c r="AB119" s="17">
        <f>MATCH(AB$88&amp;"."&amp;TEXT(AA119,"00"),Tab.U.Default!$A:$A,0)</f>
        <v>26</v>
      </c>
      <c r="AC119" s="105">
        <f ca="1">OFFSET(Tab.U.Default!$A$1,$AB119-1,MATCH("U_Class_"&amp;IF($J119="TopCeiling","UpperCeiling",$J119)&amp;"_"&amp;AC$87,Tab.U.Default!$1:$1,0)-1)</f>
        <v>1.5</v>
      </c>
      <c r="AD119" s="105">
        <f ca="1">OFFSET(Tab.U.Default!$A$1,$AB119-1,MATCH("U_Class_"&amp;IF($J119="TopCeiling","UpperCeiling",$J119)&amp;"_"&amp;AD$87,Tab.U.Default!$1:$1,0)-1)</f>
        <v>1.5</v>
      </c>
      <c r="AE119" s="105">
        <f ca="1">OFFSET(Tab.U.Default!$A$1,$AB119-1,MATCH("U_Class_"&amp;IF($J119="TopCeiling","UpperCeiling",$J119)&amp;"_"&amp;AE$87,Tab.U.Default!$1:$1,0)-1)</f>
        <v>1.5</v>
      </c>
      <c r="AF119" s="26">
        <f t="shared" ca="1" si="0"/>
        <v>1.5</v>
      </c>
      <c r="AG119" s="26">
        <f t="shared" ca="1" si="1"/>
        <v>1.5</v>
      </c>
      <c r="AH119" s="18" t="str">
        <f t="shared" si="2"/>
        <v>Refurbish</v>
      </c>
      <c r="AI119" s="18" t="str">
        <f t="shared" si="28"/>
        <v>Add</v>
      </c>
      <c r="AJ119" s="18">
        <f t="shared" si="3"/>
        <v>2016</v>
      </c>
      <c r="AK119" s="17">
        <f>MATCH(AJ119,Tab.Year.Period!$11:$11,1)-3</f>
        <v>12</v>
      </c>
      <c r="AL119" s="17">
        <f>MATCH(AL$88&amp;"."&amp;TEXT(AK119,"00"),Tab.Insulation.Default!$A:$A,0)</f>
        <v>23</v>
      </c>
      <c r="AM119" s="20" t="e">
        <f ca="1">IF(ISNA(IF(S119="",#N/A,S119)),OFFSET(Tab.Insulation.Default!$A$1,$AL119-1,MATCH(AM$87&amp;"_"&amp;$K119,Tab.Insulation.Default!$1:$1,0)-1),#N/A)</f>
        <v>#N/A</v>
      </c>
      <c r="AN119" s="27">
        <f t="shared" si="29"/>
        <v>24</v>
      </c>
      <c r="AO119" s="22" t="e">
        <f ca="1">IF(ISNA(IF(V119="",#N/A,V119)),OFFSET(Tab.Insulation.Default!$A$1,$AL119-1,MATCH(AO$87&amp;"_"&amp;$K119,Tab.Insulation.Default!$1:$1,0)-1),#N/A)</f>
        <v>#N/A</v>
      </c>
      <c r="AP119" s="23">
        <f t="shared" si="30"/>
        <v>3.5000000000000003E-2</v>
      </c>
      <c r="AQ119" s="29" t="str">
        <f t="shared" si="4"/>
        <v>Gen.Refurbished.12</v>
      </c>
      <c r="AR119" s="17">
        <f>MATCH(AR$88&amp;"."&amp;AQ119,Tab.Measure.f.Default!$A:$A,0)</f>
        <v>23</v>
      </c>
      <c r="AS119" s="21">
        <f ca="1">OFFSET(Tab.Measure.f.Default!$A$1,AR119-1,MATCH(AS$87&amp;"_"&amp;$J119,Tab.Measure.f.Default!$1:$1,0)-1)</f>
        <v>0.75</v>
      </c>
      <c r="AT119" s="29" t="str">
        <f t="shared" si="5"/>
        <v>MUH.NA.03</v>
      </c>
      <c r="AU119" s="17">
        <f>MATCH(AU$88&amp;"."&amp;AT119,Tab.Measure.f.Default!$A:$A,0)</f>
        <v>38</v>
      </c>
      <c r="AV119" s="21">
        <f ca="1">OFFSET(Tab.Measure.f.Default!$A$1,AU119-1,MATCH(AV$87&amp;"_"&amp;$J119,Tab.Measure.f.Default!$1:$1,0)-1)</f>
        <v>0.37</v>
      </c>
      <c r="AW119" s="30">
        <f t="shared" si="33"/>
        <v>0.5</v>
      </c>
      <c r="AX119" s="9">
        <f t="shared" ca="1" si="6"/>
        <v>0.66666666666666663</v>
      </c>
      <c r="AY119" s="9">
        <f t="shared" si="7"/>
        <v>6.8571428571428559</v>
      </c>
      <c r="AZ119" s="9">
        <f t="shared" ca="1" si="41"/>
        <v>7.5238095238095228</v>
      </c>
      <c r="BA119" s="9">
        <f t="shared" ca="1" si="42"/>
        <v>0.13291139240506331</v>
      </c>
      <c r="BB119" s="9">
        <f t="shared" ca="1" si="8"/>
        <v>0.81645569620253167</v>
      </c>
      <c r="BC119" s="32" t="str">
        <f t="shared" si="9"/>
        <v>D</v>
      </c>
      <c r="BD119" s="20" t="str">
        <f ca="1">OFFSET(Tab.Uncertainty.Levels!$A$1,MATCH(BD$88,Tab.Uncertainty.Levels!$A:$A,0)-1,MATCH(BD$87&amp;"_"&amp;BC119,Tab.Uncertainty.Levels!$1:$1,0)-1)</f>
        <v>Use of default values; building constructed until 1983</v>
      </c>
      <c r="BE119" s="24">
        <f ca="1">OFFSET(Tab.Uncertainty.Levels!$A$1,MATCH(BE$88,Tab.Uncertainty.Levels!$A:$A,0)-1,MATCH(BE$87&amp;"_"&amp;BC119,Tab.Uncertainty.Levels!$1:$1,0)-1)</f>
        <v>0.3</v>
      </c>
      <c r="BF119" s="32" t="str">
        <f t="shared" si="10"/>
        <v>-</v>
      </c>
      <c r="BG119" s="20" t="e">
        <f ca="1">OFFSET(Tab.Uncertainty.Levels!$A$1,MATCH(BG$88,Tab.Uncertainty.Levels!$A:$A,0)-1,MATCH(BG$87&amp;"_"&amp;BF119,Tab.Uncertainty.Levels!$1:$1,0)-1)</f>
        <v>#N/A</v>
      </c>
      <c r="BH119" s="24" t="e">
        <f ca="1">OFFSET(Tab.Uncertainty.Levels!$A$1,MATCH(BH$88,Tab.Uncertainty.Levels!$A:$A,0)-1,MATCH(BH$87&amp;"_"&amp;BF119,Tab.Uncertainty.Levels!$1:$1,0)-1)</f>
        <v>#N/A</v>
      </c>
      <c r="BI119" s="32" t="str">
        <f t="shared" si="31"/>
        <v>D</v>
      </c>
      <c r="BJ119" s="13">
        <f ca="1">IF(BF119="-",BE119,BH119)</f>
        <v>0.3</v>
      </c>
      <c r="BK119" s="32" t="str">
        <f>IF(OR($L119="NoDataSource",IFERROR(IF($S119="",#N/A,$S119),0)=0),IF(IFERROR(IF(U119="",#N/A,U119),0)=0,"E","D"),IF($L119="DesignDataPlusQA","A",IF($L119="DesignData","B","C")))</f>
        <v>C</v>
      </c>
      <c r="BL119" s="20" t="str">
        <f ca="1">OFFSET(Tab.Uncertainty.Levels!$A$1,MATCH(BL$88,Tab.Uncertainty.Levels!$A:$A,0)-1,MATCH(BL$87&amp;"_"&amp;BK119,Tab.Uncertainty.Levels!$1:$1,0)-1)</f>
        <v>Insulation thickness determined by inspection onsite / record or statement of owner</v>
      </c>
      <c r="BM119" s="24">
        <f ca="1">OFFSET(Tab.Uncertainty.Levels!$A$1,MATCH(BM$88,Tab.Uncertainty.Levels!$A:$A,0)-1,MATCH(BM$87&amp;"_"&amp;BK119,Tab.Uncertainty.Levels!$1:$1,0)-1)</f>
        <v>0.25</v>
      </c>
      <c r="BN119" s="34">
        <f ca="1">OFFSET(Tab.Uncertainty.Levels!$A$1,MATCH(BN$88,Tab.Uncertainty.Levels!$A:$A,0)-1,MATCH(BN$87&amp;"_"&amp;BK119,Tab.Uncertainty.Levels!$1:$1,0)-1)</f>
        <v>2</v>
      </c>
      <c r="BO119" s="13">
        <f ca="1">IFERROR(MIN(BM119,BN119/AN119),0)</f>
        <v>8.3333333333333329E-2</v>
      </c>
      <c r="BP119" s="32" t="str">
        <f>IF(OR($L119="NoDataSource",IFERROR(IF($V119="",#N/A,$V119),0)=0),IF(IFERROR(IF(U119="",#N/A,U119),0)=0,"E","D"),IF($L119="DesignDataPlusQA","A",IF($L119="DesignData","B","C")))</f>
        <v>C</v>
      </c>
      <c r="BQ119" s="20" t="str">
        <f ca="1">OFFSET(Tab.Uncertainty.Levels!$A$1,MATCH(BQ$88,Tab.Uncertainty.Levels!$A:$A,0)-1,MATCH(BQ$87&amp;"_"&amp;BP119,Tab.Uncertainty.Levels!$1:$1,0)-1)</f>
        <v>Thermal conductivity of Insulation determined by inspection onsite / record or statement of owner</v>
      </c>
      <c r="BR119" s="97">
        <f ca="1">OFFSET(Tab.Uncertainty.Levels!$A$1,MATCH(BR$88,Tab.Uncertainty.Levels!$A:$A,0)-1,MATCH(BR$87&amp;"_"&amp;BP119,Tab.Uncertainty.Levels!$1:$1,0)-1)</f>
        <v>0.15</v>
      </c>
      <c r="BS119" s="32" t="str">
        <f>IF(L119="NoDataSource","D",IF(IFERROR(IF($T119="",#N/A,$T119),0)=0,IF(OR(IFERROR(IF($S119="",#N/A,$S119),0)&gt;0,$R119="Refurbish"),"D","E"),IF($L119="DesignDataPlusQA","A",IF($L119="DesignData","B","C"))))</f>
        <v>C</v>
      </c>
      <c r="BT119" s="20" t="str">
        <f ca="1">OFFSET(Tab.Uncertainty.Levels!$A$1,MATCH(BT$88,Tab.Uncertainty.Levels!$A:$A,0)-1,MATCH(BT$87&amp;"_"&amp;BS119,Tab.Uncertainty.Levels!$1:$1,0)-1)</f>
        <v>Insulation fraction determined by inspection onsite / record or statement of owner</v>
      </c>
      <c r="BU119" s="33">
        <f ca="1">OFFSET(Tab.Uncertainty.Levels!$A$1,MATCH(BU$88,Tab.Uncertainty.Levels!$A:$A,0)-1,MATCH(BU$87&amp;"_"&amp;BS119,Tab.Uncertainty.Levels!$1:$1,0)-1)</f>
        <v>0.2</v>
      </c>
      <c r="BV119" s="13">
        <f ca="1">IFERROR(MIN(BU119/AW119,1,(1-AW119)/AW119),0)</f>
        <v>0.4</v>
      </c>
      <c r="BW119" s="96">
        <f ca="1">ABS(1+(AW119*(1/(1+AN119/100/AP119*AG119)^2-1)))*BJ119*$AG119</f>
        <v>0.22676654382310524</v>
      </c>
      <c r="BX119" s="96">
        <f ca="1">ABS(-AG119+1/(1/AG119+AN119/100/AP119))*BV119*AW119</f>
        <v>0.27341772151898736</v>
      </c>
      <c r="BY119" s="96">
        <f ca="1">ABS(-AW119*AP119/((AP119/AG119+AN119/100)^2))*(BO119*AN119/100)</f>
        <v>5.0472680660150629E-3</v>
      </c>
      <c r="BZ119" s="202">
        <f ca="1">ABS(AW119*AN119/100/(1/AG119*AP119+AN119/100)^2)*(BR119*AP119)</f>
        <v>9.0850825188271127E-3</v>
      </c>
      <c r="CA119" s="103">
        <f t="shared" ca="1" si="32"/>
        <v>0.35537069304799873</v>
      </c>
      <c r="CB119" s="37">
        <f t="shared" ca="1" si="11"/>
        <v>0.27774506917868702</v>
      </c>
      <c r="CC119" s="37">
        <f t="shared" ca="1" si="12"/>
        <v>0.33488372093023255</v>
      </c>
      <c r="CD119" s="37">
        <f t="shared" ca="1" si="13"/>
        <v>6.1819252281424802E-3</v>
      </c>
      <c r="CE119" s="37">
        <f t="shared" ca="1" si="14"/>
        <v>1.1127465410656463E-2</v>
      </c>
      <c r="CF119" s="13">
        <f t="shared" ca="1" si="15"/>
        <v>0.43526022869444808</v>
      </c>
      <c r="CG119" s="101">
        <f ca="1">AG119</f>
        <v>1.5</v>
      </c>
      <c r="CH119" s="101">
        <f>AW119</f>
        <v>0.5</v>
      </c>
      <c r="CI119" s="203">
        <f>IF(CH119&gt;0,AN119,0)</f>
        <v>24</v>
      </c>
      <c r="CJ119" s="102">
        <f>IF(AND(CH119&gt;0,CI119&gt;0),AP119,0)</f>
        <v>3.5000000000000003E-2</v>
      </c>
      <c r="CK119" s="102">
        <f ca="1">BB119</f>
        <v>0.81645569620253167</v>
      </c>
      <c r="CL119" s="37">
        <f t="shared" ca="1" si="16"/>
        <v>0.3</v>
      </c>
      <c r="CM119" s="37">
        <f t="shared" ca="1" si="17"/>
        <v>0.4</v>
      </c>
      <c r="CN119" s="37">
        <f t="shared" ca="1" si="18"/>
        <v>8.3333333333333329E-2</v>
      </c>
      <c r="CO119" s="37">
        <f t="shared" ca="1" si="19"/>
        <v>0.15</v>
      </c>
      <c r="CP119" s="37">
        <f t="shared" ca="1" si="20"/>
        <v>0.43526022869444808</v>
      </c>
      <c r="CQ119" s="95">
        <f t="shared" ca="1" si="21"/>
        <v>0.44999999999999996</v>
      </c>
      <c r="CR119" s="95">
        <f t="shared" ca="1" si="22"/>
        <v>0.2</v>
      </c>
      <c r="CS119" s="95">
        <f t="shared" ca="1" si="23"/>
        <v>2</v>
      </c>
      <c r="CT119" s="103">
        <f t="shared" ca="1" si="24"/>
        <v>5.2500000000000003E-3</v>
      </c>
      <c r="CU119" s="95">
        <f t="shared" ca="1" si="25"/>
        <v>0.35537069304799879</v>
      </c>
      <c r="CV119" s="37">
        <f ca="1">$CB119^2/$CF119^2</f>
        <v>0.40718778694964569</v>
      </c>
      <c r="CW119" s="37">
        <f ca="1">$CD119^2/$CF119^2</f>
        <v>2.017202621622396E-4</v>
      </c>
      <c r="CX119" s="37">
        <f ca="1">$CE119^2/$CF119^2</f>
        <v>6.5357364940565616E-4</v>
      </c>
      <c r="CY119" s="37">
        <f ca="1">$CC119^2/$CF119^2</f>
        <v>0.59195691913878623</v>
      </c>
      <c r="DA119" s="98" t="s">
        <v>456</v>
      </c>
      <c r="DB119" s="35">
        <f ca="1">OFFSET($A$1,ROW(DB119)-1,MATCH(DA119,$1:$1,0)-1)</f>
        <v>0.5</v>
      </c>
      <c r="DC119" s="9">
        <f ca="1">BB119</f>
        <v>0.81645569620253167</v>
      </c>
      <c r="DD119" s="9">
        <f ca="1">$DC119+$CA119</f>
        <v>1.1718263892505303</v>
      </c>
      <c r="DE119" s="9">
        <f ca="1">$DC119-$CA119</f>
        <v>0.46108500315453294</v>
      </c>
      <c r="DF119" s="10">
        <f t="shared" ca="1" si="37"/>
        <v>0.43526022869444797</v>
      </c>
    </row>
    <row r="120" spans="1:110" s="8" customFormat="1" ht="32.4" customHeight="1">
      <c r="A120" s="206" t="s">
        <v>560</v>
      </c>
      <c r="B120" s="209" t="s">
        <v>2341</v>
      </c>
      <c r="C120" s="206" t="str">
        <f t="shared" si="40"/>
        <v>Parameter-Variation: f_Measure = 60%</v>
      </c>
      <c r="D120" s="206"/>
      <c r="E120" s="206" t="s">
        <v>197</v>
      </c>
      <c r="F120" s="206" t="str">
        <f t="shared" si="36"/>
        <v>60%</v>
      </c>
      <c r="G120" s="206" t="s">
        <v>2170</v>
      </c>
      <c r="H120" s="206" t="s">
        <v>2171</v>
      </c>
      <c r="I120" s="156" t="s">
        <v>80</v>
      </c>
      <c r="J120" s="156" t="s">
        <v>134</v>
      </c>
      <c r="K120" s="156" t="s">
        <v>155</v>
      </c>
      <c r="L120" s="156" t="s">
        <v>66</v>
      </c>
      <c r="M120" s="156" t="s">
        <v>188</v>
      </c>
      <c r="N120" s="7">
        <v>1925</v>
      </c>
      <c r="O120" s="156">
        <v>1</v>
      </c>
      <c r="P120" s="156">
        <v>0</v>
      </c>
      <c r="Q120" s="156" t="s">
        <v>435</v>
      </c>
      <c r="R120" s="156" t="s">
        <v>58</v>
      </c>
      <c r="S120" s="19">
        <v>24</v>
      </c>
      <c r="T120" s="19">
        <v>0.6</v>
      </c>
      <c r="U120" s="19">
        <v>2016</v>
      </c>
      <c r="V120" s="19">
        <v>3.5000000000000003E-2</v>
      </c>
      <c r="W120" s="28" t="s">
        <v>59</v>
      </c>
      <c r="X120" s="19" t="e">
        <v>#N/A</v>
      </c>
      <c r="Y120" s="105">
        <f ca="1">IFERROR(OFFSET(Tab.Const.ConstrBorder!$A$1,MATCH(Q120,Tab.Const.ConstrBorder!$A:$A,0)-1,MATCH(Y$87,Tab.Const.ConstrBorder!$1:$1,0)-1),0)</f>
        <v>0</v>
      </c>
      <c r="Z120" s="18">
        <f t="shared" si="27"/>
        <v>1925</v>
      </c>
      <c r="AA120" s="17">
        <f>MATCH(Z120,Tab.Year.Period!$11:$11,1)-3</f>
        <v>3</v>
      </c>
      <c r="AB120" s="17">
        <f>MATCH(AB$88&amp;"."&amp;TEXT(AA120,"00"),Tab.U.Default!$A:$A,0)</f>
        <v>26</v>
      </c>
      <c r="AC120" s="105">
        <f ca="1">OFFSET(Tab.U.Default!$A$1,$AB120-1,MATCH("U_Class_"&amp;IF($J120="TopCeiling","UpperCeiling",$J120)&amp;"_"&amp;AC$87,Tab.U.Default!$1:$1,0)-1)</f>
        <v>1.5</v>
      </c>
      <c r="AD120" s="105">
        <f ca="1">OFFSET(Tab.U.Default!$A$1,$AB120-1,MATCH("U_Class_"&amp;IF($J120="TopCeiling","UpperCeiling",$J120)&amp;"_"&amp;AD$87,Tab.U.Default!$1:$1,0)-1)</f>
        <v>1.5</v>
      </c>
      <c r="AE120" s="105">
        <f ca="1">OFFSET(Tab.U.Default!$A$1,$AB120-1,MATCH("U_Class_"&amp;IF($J120="TopCeiling","UpperCeiling",$J120)&amp;"_"&amp;AE$87,Tab.U.Default!$1:$1,0)-1)</f>
        <v>1.5</v>
      </c>
      <c r="AF120" s="26">
        <f t="shared" ca="1" si="0"/>
        <v>1.5</v>
      </c>
      <c r="AG120" s="26">
        <f t="shared" ca="1" si="1"/>
        <v>1.5</v>
      </c>
      <c r="AH120" s="18" t="str">
        <f t="shared" si="2"/>
        <v>Refurbish</v>
      </c>
      <c r="AI120" s="18" t="str">
        <f t="shared" si="28"/>
        <v>Add</v>
      </c>
      <c r="AJ120" s="18">
        <f t="shared" si="3"/>
        <v>2016</v>
      </c>
      <c r="AK120" s="17">
        <f>MATCH(AJ120,Tab.Year.Period!$11:$11,1)-3</f>
        <v>12</v>
      </c>
      <c r="AL120" s="17">
        <f>MATCH(AL$88&amp;"."&amp;TEXT(AK120,"00"),Tab.Insulation.Default!$A:$A,0)</f>
        <v>23</v>
      </c>
      <c r="AM120" s="20" t="e">
        <f ca="1">IF(ISNA(IF(S120="",#N/A,S120)),OFFSET(Tab.Insulation.Default!$A$1,$AL120-1,MATCH(AM$87&amp;"_"&amp;$K120,Tab.Insulation.Default!$1:$1,0)-1),#N/A)</f>
        <v>#N/A</v>
      </c>
      <c r="AN120" s="27">
        <f t="shared" si="29"/>
        <v>24</v>
      </c>
      <c r="AO120" s="22" t="e">
        <f ca="1">IF(ISNA(IF(V120="",#N/A,V120)),OFFSET(Tab.Insulation.Default!$A$1,$AL120-1,MATCH(AO$87&amp;"_"&amp;$K120,Tab.Insulation.Default!$1:$1,0)-1),#N/A)</f>
        <v>#N/A</v>
      </c>
      <c r="AP120" s="23">
        <f t="shared" si="30"/>
        <v>3.5000000000000003E-2</v>
      </c>
      <c r="AQ120" s="29" t="str">
        <f t="shared" si="4"/>
        <v>Gen.Refurbished.12</v>
      </c>
      <c r="AR120" s="17">
        <f>MATCH(AR$88&amp;"."&amp;AQ120,Tab.Measure.f.Default!$A:$A,0)</f>
        <v>23</v>
      </c>
      <c r="AS120" s="21">
        <f ca="1">OFFSET(Tab.Measure.f.Default!$A$1,AR120-1,MATCH(AS$87&amp;"_"&amp;$J120,Tab.Measure.f.Default!$1:$1,0)-1)</f>
        <v>0.75</v>
      </c>
      <c r="AT120" s="29" t="str">
        <f t="shared" si="5"/>
        <v>MUH.NA.03</v>
      </c>
      <c r="AU120" s="17">
        <f>MATCH(AU$88&amp;"."&amp;AT120,Tab.Measure.f.Default!$A:$A,0)</f>
        <v>38</v>
      </c>
      <c r="AV120" s="21">
        <f ca="1">OFFSET(Tab.Measure.f.Default!$A$1,AU120-1,MATCH(AV$87&amp;"_"&amp;$J120,Tab.Measure.f.Default!$1:$1,0)-1)</f>
        <v>0.37</v>
      </c>
      <c r="AW120" s="30">
        <f t="shared" si="33"/>
        <v>0.6</v>
      </c>
      <c r="AX120" s="9">
        <f t="shared" ca="1" si="6"/>
        <v>0.66666666666666663</v>
      </c>
      <c r="AY120" s="9">
        <f t="shared" si="7"/>
        <v>6.8571428571428559</v>
      </c>
      <c r="AZ120" s="9">
        <f t="shared" ca="1" si="41"/>
        <v>7.5238095238095228</v>
      </c>
      <c r="BA120" s="9">
        <f t="shared" ca="1" si="42"/>
        <v>0.13291139240506331</v>
      </c>
      <c r="BB120" s="9">
        <f t="shared" ca="1" si="8"/>
        <v>0.67974683544303804</v>
      </c>
      <c r="BC120" s="32" t="str">
        <f t="shared" si="9"/>
        <v>D</v>
      </c>
      <c r="BD120" s="20" t="str">
        <f ca="1">OFFSET(Tab.Uncertainty.Levels!$A$1,MATCH(BD$88,Tab.Uncertainty.Levels!$A:$A,0)-1,MATCH(BD$87&amp;"_"&amp;BC120,Tab.Uncertainty.Levels!$1:$1,0)-1)</f>
        <v>Use of default values; building constructed until 1983</v>
      </c>
      <c r="BE120" s="24">
        <f ca="1">OFFSET(Tab.Uncertainty.Levels!$A$1,MATCH(BE$88,Tab.Uncertainty.Levels!$A:$A,0)-1,MATCH(BE$87&amp;"_"&amp;BC120,Tab.Uncertainty.Levels!$1:$1,0)-1)</f>
        <v>0.3</v>
      </c>
      <c r="BF120" s="32" t="str">
        <f t="shared" si="10"/>
        <v>-</v>
      </c>
      <c r="BG120" s="20" t="e">
        <f ca="1">OFFSET(Tab.Uncertainty.Levels!$A$1,MATCH(BG$88,Tab.Uncertainty.Levels!$A:$A,0)-1,MATCH(BG$87&amp;"_"&amp;BF120,Tab.Uncertainty.Levels!$1:$1,0)-1)</f>
        <v>#N/A</v>
      </c>
      <c r="BH120" s="24" t="e">
        <f ca="1">OFFSET(Tab.Uncertainty.Levels!$A$1,MATCH(BH$88,Tab.Uncertainty.Levels!$A:$A,0)-1,MATCH(BH$87&amp;"_"&amp;BF120,Tab.Uncertainty.Levels!$1:$1,0)-1)</f>
        <v>#N/A</v>
      </c>
      <c r="BI120" s="32" t="str">
        <f t="shared" si="31"/>
        <v>D</v>
      </c>
      <c r="BJ120" s="13">
        <f ca="1">IF(BF120="-",BE120,BH120)</f>
        <v>0.3</v>
      </c>
      <c r="BK120" s="32" t="str">
        <f>IF(OR($L120="NoDataSource",IFERROR(IF($S120="",#N/A,$S120),0)=0),IF(IFERROR(IF(U120="",#N/A,U120),0)=0,"E","D"),IF($L120="DesignDataPlusQA","A",IF($L120="DesignData","B","C")))</f>
        <v>C</v>
      </c>
      <c r="BL120" s="20" t="str">
        <f ca="1">OFFSET(Tab.Uncertainty.Levels!$A$1,MATCH(BL$88,Tab.Uncertainty.Levels!$A:$A,0)-1,MATCH(BL$87&amp;"_"&amp;BK120,Tab.Uncertainty.Levels!$1:$1,0)-1)</f>
        <v>Insulation thickness determined by inspection onsite / record or statement of owner</v>
      </c>
      <c r="BM120" s="24">
        <f ca="1">OFFSET(Tab.Uncertainty.Levels!$A$1,MATCH(BM$88,Tab.Uncertainty.Levels!$A:$A,0)-1,MATCH(BM$87&amp;"_"&amp;BK120,Tab.Uncertainty.Levels!$1:$1,0)-1)</f>
        <v>0.25</v>
      </c>
      <c r="BN120" s="34">
        <f ca="1">OFFSET(Tab.Uncertainty.Levels!$A$1,MATCH(BN$88,Tab.Uncertainty.Levels!$A:$A,0)-1,MATCH(BN$87&amp;"_"&amp;BK120,Tab.Uncertainty.Levels!$1:$1,0)-1)</f>
        <v>2</v>
      </c>
      <c r="BO120" s="13">
        <f ca="1">IFERROR(MIN(BM120,BN120/AN120),0)</f>
        <v>8.3333333333333329E-2</v>
      </c>
      <c r="BP120" s="32" t="str">
        <f>IF(OR($L120="NoDataSource",IFERROR(IF($V120="",#N/A,$V120),0)=0),IF(IFERROR(IF(U120="",#N/A,U120),0)=0,"E","D"),IF($L120="DesignDataPlusQA","A",IF($L120="DesignData","B","C")))</f>
        <v>C</v>
      </c>
      <c r="BQ120" s="20" t="str">
        <f ca="1">OFFSET(Tab.Uncertainty.Levels!$A$1,MATCH(BQ$88,Tab.Uncertainty.Levels!$A:$A,0)-1,MATCH(BQ$87&amp;"_"&amp;BP120,Tab.Uncertainty.Levels!$1:$1,0)-1)</f>
        <v>Thermal conductivity of Insulation determined by inspection onsite / record or statement of owner</v>
      </c>
      <c r="BR120" s="97">
        <f ca="1">OFFSET(Tab.Uncertainty.Levels!$A$1,MATCH(BR$88,Tab.Uncertainty.Levels!$A:$A,0)-1,MATCH(BR$87&amp;"_"&amp;BP120,Tab.Uncertainty.Levels!$1:$1,0)-1)</f>
        <v>0.15</v>
      </c>
      <c r="BS120" s="32" t="str">
        <f>IF(L120="NoDataSource","D",IF(IFERROR(IF($T120="",#N/A,$T120),0)=0,IF(OR(IFERROR(IF($S120="",#N/A,$S120),0)&gt;0,$R120="Refurbish"),"D","E"),IF($L120="DesignDataPlusQA","A",IF($L120="DesignData","B","C"))))</f>
        <v>C</v>
      </c>
      <c r="BT120" s="20" t="str">
        <f ca="1">OFFSET(Tab.Uncertainty.Levels!$A$1,MATCH(BT$88,Tab.Uncertainty.Levels!$A:$A,0)-1,MATCH(BT$87&amp;"_"&amp;BS120,Tab.Uncertainty.Levels!$1:$1,0)-1)</f>
        <v>Insulation fraction determined by inspection onsite / record or statement of owner</v>
      </c>
      <c r="BU120" s="33">
        <f ca="1">OFFSET(Tab.Uncertainty.Levels!$A$1,MATCH(BU$88,Tab.Uncertainty.Levels!$A:$A,0)-1,MATCH(BU$87&amp;"_"&amp;BS120,Tab.Uncertainty.Levels!$1:$1,0)-1)</f>
        <v>0.2</v>
      </c>
      <c r="BV120" s="13">
        <f ca="1">IFERROR(MIN(BU120/AW120,1,(1-AW120)/AW120),0)</f>
        <v>0.33333333333333337</v>
      </c>
      <c r="BW120" s="96">
        <f ca="1">ABS(1+(AW120*(1/(1+AN120/100/AP120*AG120)^2-1)))*BJ120*$AG120</f>
        <v>0.18211985258772631</v>
      </c>
      <c r="BX120" s="96">
        <f ca="1">ABS(-AG120+1/(1/AG120+AN120/100/AP120))*BV120*AW120</f>
        <v>0.27341772151898736</v>
      </c>
      <c r="BY120" s="96">
        <f ca="1">ABS(-AW120*AP120/((AP120/AG120+AN120/100)^2))*(BO120*AN120/100)</f>
        <v>6.056721679218076E-3</v>
      </c>
      <c r="BZ120" s="202">
        <f ca="1">ABS(AW120*AN120/100/(1/AG120*AP120+AN120/100)^2)*(BR120*AP120)</f>
        <v>1.0902099022592536E-2</v>
      </c>
      <c r="CA120" s="103">
        <f t="shared" ca="1" si="32"/>
        <v>0.3287558832748208</v>
      </c>
      <c r="CB120" s="37">
        <f t="shared" ca="1" si="11"/>
        <v>0.26792306060391763</v>
      </c>
      <c r="CC120" s="37">
        <f t="shared" ca="1" si="12"/>
        <v>0.40223463687150834</v>
      </c>
      <c r="CD120" s="37">
        <f t="shared" ca="1" si="13"/>
        <v>8.9102609433562002E-3</v>
      </c>
      <c r="CE120" s="37">
        <f t="shared" ca="1" si="14"/>
        <v>1.6038469698041159E-2</v>
      </c>
      <c r="CF120" s="13">
        <f t="shared" ca="1" si="15"/>
        <v>0.48364459550671951</v>
      </c>
      <c r="CG120" s="101">
        <f ca="1">AG120</f>
        <v>1.5</v>
      </c>
      <c r="CH120" s="101">
        <f>AW120</f>
        <v>0.6</v>
      </c>
      <c r="CI120" s="203">
        <f>IF(CH120&gt;0,AN120,0)</f>
        <v>24</v>
      </c>
      <c r="CJ120" s="102">
        <f>IF(AND(CH120&gt;0,CI120&gt;0),AP120,0)</f>
        <v>3.5000000000000003E-2</v>
      </c>
      <c r="CK120" s="102">
        <f ca="1">BB120</f>
        <v>0.67974683544303804</v>
      </c>
      <c r="CL120" s="37">
        <f t="shared" ca="1" si="16"/>
        <v>0.3</v>
      </c>
      <c r="CM120" s="37">
        <f t="shared" ca="1" si="17"/>
        <v>0.33333333333333337</v>
      </c>
      <c r="CN120" s="37">
        <f t="shared" ca="1" si="18"/>
        <v>8.3333333333333329E-2</v>
      </c>
      <c r="CO120" s="37">
        <f t="shared" ca="1" si="19"/>
        <v>0.15</v>
      </c>
      <c r="CP120" s="37">
        <f t="shared" ca="1" si="20"/>
        <v>0.48364459550671951</v>
      </c>
      <c r="CQ120" s="95">
        <f t="shared" ca="1" si="21"/>
        <v>0.44999999999999996</v>
      </c>
      <c r="CR120" s="95">
        <f t="shared" ca="1" si="22"/>
        <v>0.2</v>
      </c>
      <c r="CS120" s="95">
        <f t="shared" ca="1" si="23"/>
        <v>2</v>
      </c>
      <c r="CT120" s="103">
        <f t="shared" ca="1" si="24"/>
        <v>5.2500000000000003E-3</v>
      </c>
      <c r="CU120" s="95">
        <f t="shared" ca="1" si="25"/>
        <v>0.32875588327482075</v>
      </c>
      <c r="CV120" s="37">
        <f ca="1">$CB120^2/$CF120^2</f>
        <v>0.30687924229033292</v>
      </c>
      <c r="CW120" s="37">
        <f ca="1">$CD120^2/$CF120^2</f>
        <v>3.3941276170087673E-4</v>
      </c>
      <c r="CX120" s="37">
        <f ca="1">$CE120^2/$CF120^2</f>
        <v>1.0996973479108403E-3</v>
      </c>
      <c r="CY120" s="37">
        <f ca="1">$CC120^2/$CF120^2</f>
        <v>0.69168164760005557</v>
      </c>
      <c r="DA120" s="98" t="s">
        <v>456</v>
      </c>
      <c r="DB120" s="35">
        <f ca="1">OFFSET($A$1,ROW(DB120)-1,MATCH(DA120,$1:$1,0)-1)</f>
        <v>0.6</v>
      </c>
      <c r="DC120" s="9">
        <f ca="1">BB120</f>
        <v>0.67974683544303804</v>
      </c>
      <c r="DD120" s="9">
        <f ca="1">$DC120+$CA120</f>
        <v>1.0085027187178588</v>
      </c>
      <c r="DE120" s="9">
        <f ca="1">$DC120-$CA120</f>
        <v>0.35099095216821724</v>
      </c>
      <c r="DF120" s="10">
        <f t="shared" ca="1" si="37"/>
        <v>0.48364459550671951</v>
      </c>
    </row>
    <row r="121" spans="1:110" s="8" customFormat="1" ht="32.4" customHeight="1">
      <c r="A121" s="206" t="s">
        <v>560</v>
      </c>
      <c r="B121" s="209" t="s">
        <v>2341</v>
      </c>
      <c r="C121" s="206" t="str">
        <f>E121&amp;" = "&amp;F121</f>
        <v>Parameter-Variation: f_Measure = 70%</v>
      </c>
      <c r="D121" s="206"/>
      <c r="E121" s="206" t="s">
        <v>197</v>
      </c>
      <c r="F121" s="206" t="str">
        <f t="shared" si="36"/>
        <v>70%</v>
      </c>
      <c r="G121" s="206" t="s">
        <v>2170</v>
      </c>
      <c r="H121" s="206" t="s">
        <v>2171</v>
      </c>
      <c r="I121" s="156" t="s">
        <v>80</v>
      </c>
      <c r="J121" s="156" t="s">
        <v>134</v>
      </c>
      <c r="K121" s="156" t="s">
        <v>155</v>
      </c>
      <c r="L121" s="156" t="s">
        <v>66</v>
      </c>
      <c r="M121" s="156" t="s">
        <v>188</v>
      </c>
      <c r="N121" s="7">
        <v>1925</v>
      </c>
      <c r="O121" s="156">
        <v>1</v>
      </c>
      <c r="P121" s="156">
        <v>0</v>
      </c>
      <c r="Q121" s="156" t="s">
        <v>435</v>
      </c>
      <c r="R121" s="156" t="s">
        <v>58</v>
      </c>
      <c r="S121" s="19">
        <v>24</v>
      </c>
      <c r="T121" s="19">
        <v>0.7</v>
      </c>
      <c r="U121" s="19">
        <v>2016</v>
      </c>
      <c r="V121" s="19">
        <v>3.5000000000000003E-2</v>
      </c>
      <c r="W121" s="28" t="s">
        <v>59</v>
      </c>
      <c r="X121" s="19" t="e">
        <v>#N/A</v>
      </c>
      <c r="Y121" s="105">
        <f ca="1">IFERROR(OFFSET(Tab.Const.ConstrBorder!$A$1,MATCH(Q121,Tab.Const.ConstrBorder!$A:$A,0)-1,MATCH(Y$87,Tab.Const.ConstrBorder!$1:$1,0)-1),0)</f>
        <v>0</v>
      </c>
      <c r="Z121" s="18">
        <f t="shared" si="27"/>
        <v>1925</v>
      </c>
      <c r="AA121" s="17">
        <f>MATCH(Z121,Tab.Year.Period!$11:$11,1)-3</f>
        <v>3</v>
      </c>
      <c r="AB121" s="17">
        <f>MATCH(AB$88&amp;"."&amp;TEXT(AA121,"00"),Tab.U.Default!$A:$A,0)</f>
        <v>26</v>
      </c>
      <c r="AC121" s="105">
        <f ca="1">OFFSET(Tab.U.Default!$A$1,$AB121-1,MATCH("U_Class_"&amp;IF($J121="TopCeiling","UpperCeiling",$J121)&amp;"_"&amp;AC$87,Tab.U.Default!$1:$1,0)-1)</f>
        <v>1.5</v>
      </c>
      <c r="AD121" s="105">
        <f ca="1">OFFSET(Tab.U.Default!$A$1,$AB121-1,MATCH("U_Class_"&amp;IF($J121="TopCeiling","UpperCeiling",$J121)&amp;"_"&amp;AD$87,Tab.U.Default!$1:$1,0)-1)</f>
        <v>1.5</v>
      </c>
      <c r="AE121" s="105">
        <f ca="1">OFFSET(Tab.U.Default!$A$1,$AB121-1,MATCH("U_Class_"&amp;IF($J121="TopCeiling","UpperCeiling",$J121)&amp;"_"&amp;AE$87,Tab.U.Default!$1:$1,0)-1)</f>
        <v>1.5</v>
      </c>
      <c r="AF121" s="26">
        <f t="shared" ca="1" si="0"/>
        <v>1.5</v>
      </c>
      <c r="AG121" s="26">
        <f t="shared" ca="1" si="1"/>
        <v>1.5</v>
      </c>
      <c r="AH121" s="18" t="str">
        <f t="shared" si="2"/>
        <v>Refurbish</v>
      </c>
      <c r="AI121" s="18" t="str">
        <f t="shared" si="28"/>
        <v>Add</v>
      </c>
      <c r="AJ121" s="18">
        <f t="shared" si="3"/>
        <v>2016</v>
      </c>
      <c r="AK121" s="17">
        <f>MATCH(AJ121,Tab.Year.Period!$11:$11,1)-3</f>
        <v>12</v>
      </c>
      <c r="AL121" s="17">
        <f>MATCH(AL$88&amp;"."&amp;TEXT(AK121,"00"),Tab.Insulation.Default!$A:$A,0)</f>
        <v>23</v>
      </c>
      <c r="AM121" s="20" t="e">
        <f ca="1">IF(ISNA(IF(S121="",#N/A,S121)),OFFSET(Tab.Insulation.Default!$A$1,$AL121-1,MATCH(AM$87&amp;"_"&amp;$K121,Tab.Insulation.Default!$1:$1,0)-1),#N/A)</f>
        <v>#N/A</v>
      </c>
      <c r="AN121" s="27">
        <f t="shared" si="29"/>
        <v>24</v>
      </c>
      <c r="AO121" s="22" t="e">
        <f ca="1">IF(ISNA(IF(V121="",#N/A,V121)),OFFSET(Tab.Insulation.Default!$A$1,$AL121-1,MATCH(AO$87&amp;"_"&amp;$K121,Tab.Insulation.Default!$1:$1,0)-1),#N/A)</f>
        <v>#N/A</v>
      </c>
      <c r="AP121" s="23">
        <f t="shared" si="30"/>
        <v>3.5000000000000003E-2</v>
      </c>
      <c r="AQ121" s="29" t="str">
        <f t="shared" si="4"/>
        <v>Gen.Refurbished.12</v>
      </c>
      <c r="AR121" s="17">
        <f>MATCH(AR$88&amp;"."&amp;AQ121,Tab.Measure.f.Default!$A:$A,0)</f>
        <v>23</v>
      </c>
      <c r="AS121" s="21">
        <f ca="1">OFFSET(Tab.Measure.f.Default!$A$1,AR121-1,MATCH(AS$87&amp;"_"&amp;$J121,Tab.Measure.f.Default!$1:$1,0)-1)</f>
        <v>0.75</v>
      </c>
      <c r="AT121" s="29" t="str">
        <f t="shared" si="5"/>
        <v>MUH.NA.03</v>
      </c>
      <c r="AU121" s="17">
        <f>MATCH(AU$88&amp;"."&amp;AT121,Tab.Measure.f.Default!$A:$A,0)</f>
        <v>38</v>
      </c>
      <c r="AV121" s="21">
        <f ca="1">OFFSET(Tab.Measure.f.Default!$A$1,AU121-1,MATCH(AV$87&amp;"_"&amp;$J121,Tab.Measure.f.Default!$1:$1,0)-1)</f>
        <v>0.37</v>
      </c>
      <c r="AW121" s="30">
        <f t="shared" si="33"/>
        <v>0.7</v>
      </c>
      <c r="AX121" s="9">
        <f t="shared" ca="1" si="6"/>
        <v>0.66666666666666663</v>
      </c>
      <c r="AY121" s="9">
        <f t="shared" si="7"/>
        <v>6.8571428571428559</v>
      </c>
      <c r="AZ121" s="9">
        <f t="shared" ca="1" si="38"/>
        <v>7.5238095238095228</v>
      </c>
      <c r="BA121" s="9">
        <f t="shared" ca="1" si="39"/>
        <v>0.13291139240506331</v>
      </c>
      <c r="BB121" s="9">
        <f t="shared" ca="1" si="8"/>
        <v>0.54303797468354442</v>
      </c>
      <c r="BC121" s="32" t="str">
        <f t="shared" si="9"/>
        <v>D</v>
      </c>
      <c r="BD121" s="20" t="str">
        <f ca="1">OFFSET(Tab.Uncertainty.Levels!$A$1,MATCH(BD$88,Tab.Uncertainty.Levels!$A:$A,0)-1,MATCH(BD$87&amp;"_"&amp;BC121,Tab.Uncertainty.Levels!$1:$1,0)-1)</f>
        <v>Use of default values; building constructed until 1983</v>
      </c>
      <c r="BE121" s="24">
        <f ca="1">OFFSET(Tab.Uncertainty.Levels!$A$1,MATCH(BE$88,Tab.Uncertainty.Levels!$A:$A,0)-1,MATCH(BE$87&amp;"_"&amp;BC121,Tab.Uncertainty.Levels!$1:$1,0)-1)</f>
        <v>0.3</v>
      </c>
      <c r="BF121" s="32" t="str">
        <f t="shared" si="10"/>
        <v>-</v>
      </c>
      <c r="BG121" s="20" t="e">
        <f ca="1">OFFSET(Tab.Uncertainty.Levels!$A$1,MATCH(BG$88,Tab.Uncertainty.Levels!$A:$A,0)-1,MATCH(BG$87&amp;"_"&amp;BF121,Tab.Uncertainty.Levels!$1:$1,0)-1)</f>
        <v>#N/A</v>
      </c>
      <c r="BH121" s="24" t="e">
        <f ca="1">OFFSET(Tab.Uncertainty.Levels!$A$1,MATCH(BH$88,Tab.Uncertainty.Levels!$A:$A,0)-1,MATCH(BH$87&amp;"_"&amp;BF121,Tab.Uncertainty.Levels!$1:$1,0)-1)</f>
        <v>#N/A</v>
      </c>
      <c r="BI121" s="32" t="str">
        <f t="shared" si="31"/>
        <v>D</v>
      </c>
      <c r="BJ121" s="13">
        <f ca="1">IF(BF121="-",BE121,BH121)</f>
        <v>0.3</v>
      </c>
      <c r="BK121" s="32" t="str">
        <f>IF(OR($L121="NoDataSource",IFERROR(IF($S121="",#N/A,$S121),0)=0),IF(IFERROR(IF(U121="",#N/A,U121),0)=0,"E","D"),IF($L121="DesignDataPlusQA","A",IF($L121="DesignData","B","C")))</f>
        <v>C</v>
      </c>
      <c r="BL121" s="20" t="str">
        <f ca="1">OFFSET(Tab.Uncertainty.Levels!$A$1,MATCH(BL$88,Tab.Uncertainty.Levels!$A:$A,0)-1,MATCH(BL$87&amp;"_"&amp;BK121,Tab.Uncertainty.Levels!$1:$1,0)-1)</f>
        <v>Insulation thickness determined by inspection onsite / record or statement of owner</v>
      </c>
      <c r="BM121" s="24">
        <f ca="1">OFFSET(Tab.Uncertainty.Levels!$A$1,MATCH(BM$88,Tab.Uncertainty.Levels!$A:$A,0)-1,MATCH(BM$87&amp;"_"&amp;BK121,Tab.Uncertainty.Levels!$1:$1,0)-1)</f>
        <v>0.25</v>
      </c>
      <c r="BN121" s="34">
        <f ca="1">OFFSET(Tab.Uncertainty.Levels!$A$1,MATCH(BN$88,Tab.Uncertainty.Levels!$A:$A,0)-1,MATCH(BN$87&amp;"_"&amp;BK121,Tab.Uncertainty.Levels!$1:$1,0)-1)</f>
        <v>2</v>
      </c>
      <c r="BO121" s="13">
        <f ca="1">IFERROR(MIN(BM121,BN121/AN121),0)</f>
        <v>8.3333333333333329E-2</v>
      </c>
      <c r="BP121" s="32" t="str">
        <f>IF(OR($L121="NoDataSource",IFERROR(IF($V121="",#N/A,$V121),0)=0),IF(IFERROR(IF(U121="",#N/A,U121),0)=0,"E","D"),IF($L121="DesignDataPlusQA","A",IF($L121="DesignData","B","C")))</f>
        <v>C</v>
      </c>
      <c r="BQ121" s="20" t="str">
        <f ca="1">OFFSET(Tab.Uncertainty.Levels!$A$1,MATCH(BQ$88,Tab.Uncertainty.Levels!$A:$A,0)-1,MATCH(BQ$87&amp;"_"&amp;BP121,Tab.Uncertainty.Levels!$1:$1,0)-1)</f>
        <v>Thermal conductivity of Insulation determined by inspection onsite / record or statement of owner</v>
      </c>
      <c r="BR121" s="97">
        <f ca="1">OFFSET(Tab.Uncertainty.Levels!$A$1,MATCH(BR$88,Tab.Uncertainty.Levels!$A:$A,0)-1,MATCH(BR$87&amp;"_"&amp;BP121,Tab.Uncertainty.Levels!$1:$1,0)-1)</f>
        <v>0.15</v>
      </c>
      <c r="BS121" s="32" t="str">
        <f>IF(L121="NoDataSource","D",IF(IFERROR(IF($T121="",#N/A,$T121),0)=0,IF(OR(IFERROR(IF($S121="",#N/A,$S121),0)&gt;0,$R121="Refurbish"),"D","E"),IF($L121="DesignDataPlusQA","A",IF($L121="DesignData","B","C"))))</f>
        <v>C</v>
      </c>
      <c r="BT121" s="20" t="str">
        <f ca="1">OFFSET(Tab.Uncertainty.Levels!$A$1,MATCH(BT$88,Tab.Uncertainty.Levels!$A:$A,0)-1,MATCH(BT$87&amp;"_"&amp;BS121,Tab.Uncertainty.Levels!$1:$1,0)-1)</f>
        <v>Insulation fraction determined by inspection onsite / record or statement of owner</v>
      </c>
      <c r="BU121" s="33">
        <f ca="1">OFFSET(Tab.Uncertainty.Levels!$A$1,MATCH(BU$88,Tab.Uncertainty.Levels!$A:$A,0)-1,MATCH(BU$87&amp;"_"&amp;BS121,Tab.Uncertainty.Levels!$1:$1,0)-1)</f>
        <v>0.2</v>
      </c>
      <c r="BV121" s="13">
        <f ca="1">IFERROR(MIN(BU121/AW121,1,(1-AW121)/AW121),0)</f>
        <v>0.28571428571428575</v>
      </c>
      <c r="BW121" s="96">
        <f ca="1">ABS(1+(AW121*(1/(1+AN121/100/AP121*AG121)^2-1)))*BJ121*$AG121</f>
        <v>0.13747316135234741</v>
      </c>
      <c r="BX121" s="96">
        <f ca="1">ABS(-AG121+1/(1/AG121+AN121/100/AP121))*BV121*AW121</f>
        <v>0.27341772151898736</v>
      </c>
      <c r="BY121" s="96">
        <f ca="1">ABS(-AW121*AP121/((AP121/AG121+AN121/100)^2))*(BO121*AN121/100)</f>
        <v>7.0661752924210883E-3</v>
      </c>
      <c r="BZ121" s="202">
        <f ca="1">ABS(AW121*AN121/100/(1/AG121*AP121+AN121/100)^2)*(BR121*AP121)</f>
        <v>1.2719115526357957E-2</v>
      </c>
      <c r="CA121" s="103">
        <f t="shared" ca="1" si="32"/>
        <v>0.30637856854858359</v>
      </c>
      <c r="CB121" s="37">
        <f t="shared" ca="1" si="11"/>
        <v>0.25315570505443924</v>
      </c>
      <c r="CC121" s="37">
        <f t="shared" ca="1" si="12"/>
        <v>0.50349650349650343</v>
      </c>
      <c r="CD121" s="37">
        <f t="shared" ca="1" si="13"/>
        <v>1.3012304151544659E-2</v>
      </c>
      <c r="CE121" s="37">
        <f t="shared" ca="1" si="14"/>
        <v>2.3422147472780382E-2</v>
      </c>
      <c r="CF121" s="13">
        <f t="shared" ca="1" si="15"/>
        <v>0.56419363439016545</v>
      </c>
      <c r="CG121" s="101">
        <f ca="1">AG121</f>
        <v>1.5</v>
      </c>
      <c r="CH121" s="101">
        <f>AW121</f>
        <v>0.7</v>
      </c>
      <c r="CI121" s="203">
        <f>IF(CH121&gt;0,AN121,0)</f>
        <v>24</v>
      </c>
      <c r="CJ121" s="102">
        <f>IF(AND(CH121&gt;0,CI121&gt;0),AP121,0)</f>
        <v>3.5000000000000003E-2</v>
      </c>
      <c r="CK121" s="102">
        <f ca="1">BB121</f>
        <v>0.54303797468354442</v>
      </c>
      <c r="CL121" s="37">
        <f t="shared" ca="1" si="16"/>
        <v>0.3</v>
      </c>
      <c r="CM121" s="37">
        <f t="shared" ca="1" si="17"/>
        <v>0.28571428571428575</v>
      </c>
      <c r="CN121" s="37">
        <f t="shared" ca="1" si="18"/>
        <v>8.3333333333333329E-2</v>
      </c>
      <c r="CO121" s="37">
        <f t="shared" ca="1" si="19"/>
        <v>0.15</v>
      </c>
      <c r="CP121" s="37">
        <f t="shared" ca="1" si="20"/>
        <v>0.56419363439016545</v>
      </c>
      <c r="CQ121" s="95">
        <f t="shared" ca="1" si="21"/>
        <v>0.44999999999999996</v>
      </c>
      <c r="CR121" s="95">
        <f t="shared" ca="1" si="22"/>
        <v>0.2</v>
      </c>
      <c r="CS121" s="95">
        <f t="shared" ca="1" si="23"/>
        <v>2</v>
      </c>
      <c r="CT121" s="103">
        <f t="shared" ca="1" si="24"/>
        <v>5.2500000000000003E-3</v>
      </c>
      <c r="CU121" s="95">
        <f t="shared" ca="1" si="25"/>
        <v>0.30637856854858359</v>
      </c>
      <c r="CV121" s="37">
        <f ca="1">$CB121^2/$CF121^2</f>
        <v>0.20133490507538646</v>
      </c>
      <c r="CW121" s="37">
        <f ca="1">$CD121^2/$CF121^2</f>
        <v>5.319270160775531E-4</v>
      </c>
      <c r="CX121" s="37">
        <f ca="1">$CE121^2/$CF121^2</f>
        <v>1.7234435320912711E-3</v>
      </c>
      <c r="CY121" s="37">
        <f ca="1">$CC121^2/$CF121^2</f>
        <v>0.79640972437644475</v>
      </c>
      <c r="DA121" s="98" t="s">
        <v>456</v>
      </c>
      <c r="DB121" s="35">
        <f ca="1">OFFSET($A$1,ROW(DB121)-1,MATCH(DA121,$1:$1,0)-1)</f>
        <v>0.7</v>
      </c>
      <c r="DC121" s="9">
        <f ca="1">BB121</f>
        <v>0.54303797468354442</v>
      </c>
      <c r="DD121" s="9">
        <f ca="1">$DC121+$CA121</f>
        <v>0.84941654323212801</v>
      </c>
      <c r="DE121" s="9">
        <f ca="1">$DC121-$CA121</f>
        <v>0.23665940613496084</v>
      </c>
      <c r="DF121" s="10">
        <f t="shared" ca="1" si="37"/>
        <v>0.56419363439016545</v>
      </c>
    </row>
    <row r="122" spans="1:110" s="8" customFormat="1" ht="32.4" customHeight="1">
      <c r="A122" s="206" t="s">
        <v>560</v>
      </c>
      <c r="B122" s="209" t="s">
        <v>2341</v>
      </c>
      <c r="C122" s="206" t="str">
        <f>E122&amp;" = "&amp;F122</f>
        <v>Parameter-Variation: f_Measure = 80%</v>
      </c>
      <c r="D122" s="206"/>
      <c r="E122" s="206" t="s">
        <v>197</v>
      </c>
      <c r="F122" s="206" t="str">
        <f t="shared" si="36"/>
        <v>80%</v>
      </c>
      <c r="G122" s="206" t="s">
        <v>2170</v>
      </c>
      <c r="H122" s="206" t="s">
        <v>2171</v>
      </c>
      <c r="I122" s="156" t="s">
        <v>80</v>
      </c>
      <c r="J122" s="156" t="s">
        <v>134</v>
      </c>
      <c r="K122" s="156" t="s">
        <v>155</v>
      </c>
      <c r="L122" s="156" t="s">
        <v>66</v>
      </c>
      <c r="M122" s="156" t="s">
        <v>188</v>
      </c>
      <c r="N122" s="7">
        <v>1925</v>
      </c>
      <c r="O122" s="156">
        <v>1</v>
      </c>
      <c r="P122" s="156">
        <v>0</v>
      </c>
      <c r="Q122" s="156" t="s">
        <v>435</v>
      </c>
      <c r="R122" s="156" t="s">
        <v>58</v>
      </c>
      <c r="S122" s="19">
        <v>24</v>
      </c>
      <c r="T122" s="19">
        <v>0.8</v>
      </c>
      <c r="U122" s="19">
        <v>2016</v>
      </c>
      <c r="V122" s="19">
        <v>3.5000000000000003E-2</v>
      </c>
      <c r="W122" s="28" t="s">
        <v>59</v>
      </c>
      <c r="X122" s="19" t="e">
        <v>#N/A</v>
      </c>
      <c r="Y122" s="105">
        <f ca="1">IFERROR(OFFSET(Tab.Const.ConstrBorder!$A$1,MATCH(Q122,Tab.Const.ConstrBorder!$A:$A,0)-1,MATCH(Y$87,Tab.Const.ConstrBorder!$1:$1,0)-1),0)</f>
        <v>0</v>
      </c>
      <c r="Z122" s="18">
        <f t="shared" si="27"/>
        <v>1925</v>
      </c>
      <c r="AA122" s="17">
        <f>MATCH(Z122,Tab.Year.Period!$11:$11,1)-3</f>
        <v>3</v>
      </c>
      <c r="AB122" s="17">
        <f>MATCH(AB$88&amp;"."&amp;TEXT(AA122,"00"),Tab.U.Default!$A:$A,0)</f>
        <v>26</v>
      </c>
      <c r="AC122" s="105">
        <f ca="1">OFFSET(Tab.U.Default!$A$1,$AB122-1,MATCH("U_Class_"&amp;IF($J122="TopCeiling","UpperCeiling",$J122)&amp;"_"&amp;AC$87,Tab.U.Default!$1:$1,0)-1)</f>
        <v>1.5</v>
      </c>
      <c r="AD122" s="105">
        <f ca="1">OFFSET(Tab.U.Default!$A$1,$AB122-1,MATCH("U_Class_"&amp;IF($J122="TopCeiling","UpperCeiling",$J122)&amp;"_"&amp;AD$87,Tab.U.Default!$1:$1,0)-1)</f>
        <v>1.5</v>
      </c>
      <c r="AE122" s="105">
        <f ca="1">OFFSET(Tab.U.Default!$A$1,$AB122-1,MATCH("U_Class_"&amp;IF($J122="TopCeiling","UpperCeiling",$J122)&amp;"_"&amp;AE$87,Tab.U.Default!$1:$1,0)-1)</f>
        <v>1.5</v>
      </c>
      <c r="AF122" s="26">
        <f t="shared" ca="1" si="0"/>
        <v>1.5</v>
      </c>
      <c r="AG122" s="26">
        <f t="shared" ca="1" si="1"/>
        <v>1.5</v>
      </c>
      <c r="AH122" s="18" t="str">
        <f t="shared" si="2"/>
        <v>Refurbish</v>
      </c>
      <c r="AI122" s="18" t="str">
        <f t="shared" si="28"/>
        <v>Add</v>
      </c>
      <c r="AJ122" s="18">
        <f t="shared" si="3"/>
        <v>2016</v>
      </c>
      <c r="AK122" s="17">
        <f>MATCH(AJ122,Tab.Year.Period!$11:$11,1)-3</f>
        <v>12</v>
      </c>
      <c r="AL122" s="17">
        <f>MATCH(AL$88&amp;"."&amp;TEXT(AK122,"00"),Tab.Insulation.Default!$A:$A,0)</f>
        <v>23</v>
      </c>
      <c r="AM122" s="20" t="e">
        <f ca="1">IF(ISNA(IF(S122="",#N/A,S122)),OFFSET(Tab.Insulation.Default!$A$1,$AL122-1,MATCH(AM$87&amp;"_"&amp;$K122,Tab.Insulation.Default!$1:$1,0)-1),#N/A)</f>
        <v>#N/A</v>
      </c>
      <c r="AN122" s="27">
        <f t="shared" si="29"/>
        <v>24</v>
      </c>
      <c r="AO122" s="22" t="e">
        <f ca="1">IF(ISNA(IF(V122="",#N/A,V122)),OFFSET(Tab.Insulation.Default!$A$1,$AL122-1,MATCH(AO$87&amp;"_"&amp;$K122,Tab.Insulation.Default!$1:$1,0)-1),#N/A)</f>
        <v>#N/A</v>
      </c>
      <c r="AP122" s="23">
        <f t="shared" si="30"/>
        <v>3.5000000000000003E-2</v>
      </c>
      <c r="AQ122" s="29" t="str">
        <f t="shared" si="4"/>
        <v>Gen.Refurbished.12</v>
      </c>
      <c r="AR122" s="17">
        <f>MATCH(AR$88&amp;"."&amp;AQ122,Tab.Measure.f.Default!$A:$A,0)</f>
        <v>23</v>
      </c>
      <c r="AS122" s="21">
        <f ca="1">OFFSET(Tab.Measure.f.Default!$A$1,AR122-1,MATCH(AS$87&amp;"_"&amp;$J122,Tab.Measure.f.Default!$1:$1,0)-1)</f>
        <v>0.75</v>
      </c>
      <c r="AT122" s="29" t="str">
        <f t="shared" si="5"/>
        <v>MUH.NA.03</v>
      </c>
      <c r="AU122" s="17">
        <f>MATCH(AU$88&amp;"."&amp;AT122,Tab.Measure.f.Default!$A:$A,0)</f>
        <v>38</v>
      </c>
      <c r="AV122" s="21">
        <f ca="1">OFFSET(Tab.Measure.f.Default!$A$1,AU122-1,MATCH(AV$87&amp;"_"&amp;$J122,Tab.Measure.f.Default!$1:$1,0)-1)</f>
        <v>0.37</v>
      </c>
      <c r="AW122" s="30">
        <f t="shared" si="33"/>
        <v>0.8</v>
      </c>
      <c r="AX122" s="9">
        <f t="shared" ca="1" si="6"/>
        <v>0.66666666666666663</v>
      </c>
      <c r="AY122" s="9">
        <f t="shared" si="7"/>
        <v>6.8571428571428559</v>
      </c>
      <c r="AZ122" s="9">
        <f t="shared" ca="1" si="38"/>
        <v>7.5238095238095228</v>
      </c>
      <c r="BA122" s="9">
        <f t="shared" ca="1" si="39"/>
        <v>0.13291139240506331</v>
      </c>
      <c r="BB122" s="9">
        <f t="shared" ca="1" si="8"/>
        <v>0.40632911392405058</v>
      </c>
      <c r="BC122" s="32" t="str">
        <f t="shared" si="9"/>
        <v>D</v>
      </c>
      <c r="BD122" s="20" t="str">
        <f ca="1">OFFSET(Tab.Uncertainty.Levels!$A$1,MATCH(BD$88,Tab.Uncertainty.Levels!$A:$A,0)-1,MATCH(BD$87&amp;"_"&amp;BC122,Tab.Uncertainty.Levels!$1:$1,0)-1)</f>
        <v>Use of default values; building constructed until 1983</v>
      </c>
      <c r="BE122" s="24">
        <f ca="1">OFFSET(Tab.Uncertainty.Levels!$A$1,MATCH(BE$88,Tab.Uncertainty.Levels!$A:$A,0)-1,MATCH(BE$87&amp;"_"&amp;BC122,Tab.Uncertainty.Levels!$1:$1,0)-1)</f>
        <v>0.3</v>
      </c>
      <c r="BF122" s="32" t="str">
        <f t="shared" si="10"/>
        <v>-</v>
      </c>
      <c r="BG122" s="20" t="e">
        <f ca="1">OFFSET(Tab.Uncertainty.Levels!$A$1,MATCH(BG$88,Tab.Uncertainty.Levels!$A:$A,0)-1,MATCH(BG$87&amp;"_"&amp;BF122,Tab.Uncertainty.Levels!$1:$1,0)-1)</f>
        <v>#N/A</v>
      </c>
      <c r="BH122" s="24" t="e">
        <f ca="1">OFFSET(Tab.Uncertainty.Levels!$A$1,MATCH(BH$88,Tab.Uncertainty.Levels!$A:$A,0)-1,MATCH(BH$87&amp;"_"&amp;BF122,Tab.Uncertainty.Levels!$1:$1,0)-1)</f>
        <v>#N/A</v>
      </c>
      <c r="BI122" s="32" t="str">
        <f t="shared" si="31"/>
        <v>D</v>
      </c>
      <c r="BJ122" s="13">
        <f ca="1">IF(BF122="-",BE122,BH122)</f>
        <v>0.3</v>
      </c>
      <c r="BK122" s="32" t="str">
        <f>IF(OR($L122="NoDataSource",IFERROR(IF($S122="",#N/A,$S122),0)=0),IF(IFERROR(IF(U122="",#N/A,U122),0)=0,"E","D"),IF($L122="DesignDataPlusQA","A",IF($L122="DesignData","B","C")))</f>
        <v>C</v>
      </c>
      <c r="BL122" s="20" t="str">
        <f ca="1">OFFSET(Tab.Uncertainty.Levels!$A$1,MATCH(BL$88,Tab.Uncertainty.Levels!$A:$A,0)-1,MATCH(BL$87&amp;"_"&amp;BK122,Tab.Uncertainty.Levels!$1:$1,0)-1)</f>
        <v>Insulation thickness determined by inspection onsite / record or statement of owner</v>
      </c>
      <c r="BM122" s="24">
        <f ca="1">OFFSET(Tab.Uncertainty.Levels!$A$1,MATCH(BM$88,Tab.Uncertainty.Levels!$A:$A,0)-1,MATCH(BM$87&amp;"_"&amp;BK122,Tab.Uncertainty.Levels!$1:$1,0)-1)</f>
        <v>0.25</v>
      </c>
      <c r="BN122" s="34">
        <f ca="1">OFFSET(Tab.Uncertainty.Levels!$A$1,MATCH(BN$88,Tab.Uncertainty.Levels!$A:$A,0)-1,MATCH(BN$87&amp;"_"&amp;BK122,Tab.Uncertainty.Levels!$1:$1,0)-1)</f>
        <v>2</v>
      </c>
      <c r="BO122" s="13">
        <f ca="1">IFERROR(MIN(BM122,BN122/AN122),0)</f>
        <v>8.3333333333333329E-2</v>
      </c>
      <c r="BP122" s="32" t="str">
        <f>IF(OR($L122="NoDataSource",IFERROR(IF($V122="",#N/A,$V122),0)=0),IF(IFERROR(IF(U122="",#N/A,U122),0)=0,"E","D"),IF($L122="DesignDataPlusQA","A",IF($L122="DesignData","B","C")))</f>
        <v>C</v>
      </c>
      <c r="BQ122" s="20" t="str">
        <f ca="1">OFFSET(Tab.Uncertainty.Levels!$A$1,MATCH(BQ$88,Tab.Uncertainty.Levels!$A:$A,0)-1,MATCH(BQ$87&amp;"_"&amp;BP122,Tab.Uncertainty.Levels!$1:$1,0)-1)</f>
        <v>Thermal conductivity of Insulation determined by inspection onsite / record or statement of owner</v>
      </c>
      <c r="BR122" s="97">
        <f ca="1">OFFSET(Tab.Uncertainty.Levels!$A$1,MATCH(BR$88,Tab.Uncertainty.Levels!$A:$A,0)-1,MATCH(BR$87&amp;"_"&amp;BP122,Tab.Uncertainty.Levels!$1:$1,0)-1)</f>
        <v>0.15</v>
      </c>
      <c r="BS122" s="32" t="str">
        <f>IF(L122="NoDataSource","D",IF(IFERROR(IF($T122="",#N/A,$T122),0)=0,IF(OR(IFERROR(IF($S122="",#N/A,$S122),0)&gt;0,$R122="Refurbish"),"D","E"),IF($L122="DesignDataPlusQA","A",IF($L122="DesignData","B","C"))))</f>
        <v>C</v>
      </c>
      <c r="BT122" s="20" t="str">
        <f ca="1">OFFSET(Tab.Uncertainty.Levels!$A$1,MATCH(BT$88,Tab.Uncertainty.Levels!$A:$A,0)-1,MATCH(BT$87&amp;"_"&amp;BS122,Tab.Uncertainty.Levels!$1:$1,0)-1)</f>
        <v>Insulation fraction determined by inspection onsite / record or statement of owner</v>
      </c>
      <c r="BU122" s="33">
        <f ca="1">OFFSET(Tab.Uncertainty.Levels!$A$1,MATCH(BU$88,Tab.Uncertainty.Levels!$A:$A,0)-1,MATCH(BU$87&amp;"_"&amp;BS122,Tab.Uncertainty.Levels!$1:$1,0)-1)</f>
        <v>0.2</v>
      </c>
      <c r="BV122" s="13">
        <f ca="1">IFERROR(MIN(BU122/AW122,1,(1-AW122)/AW122),0)</f>
        <v>0.24999999999999994</v>
      </c>
      <c r="BW122" s="96">
        <f ca="1">ABS(1+(AW122*(1/(1+AN122/100/AP122*AG122)^2-1)))*BJ122*$AG122</f>
        <v>9.2826470116968401E-2</v>
      </c>
      <c r="BX122" s="96">
        <f ca="1">ABS(-AG122+1/(1/AG122+AN122/100/AP122))*BV122*AW122</f>
        <v>0.2734177215189873</v>
      </c>
      <c r="BY122" s="96">
        <f ca="1">ABS(-AW122*AP122/((AP122/AG122+AN122/100)^2))*(BO122*AN122/100)</f>
        <v>8.0756289056241014E-3</v>
      </c>
      <c r="BZ122" s="202">
        <f ca="1">ABS(AW122*AN122/100/(1/AG122*AP122+AN122/100)^2)*(BR122*AP122)</f>
        <v>1.4536132030123385E-2</v>
      </c>
      <c r="CA122" s="103">
        <f t="shared" ca="1" si="32"/>
        <v>0.28922399435667406</v>
      </c>
      <c r="CB122" s="37">
        <f t="shared" ca="1" si="11"/>
        <v>0.22845143735951728</v>
      </c>
      <c r="CC122" s="37">
        <f t="shared" ca="1" si="12"/>
        <v>0.67289719626168221</v>
      </c>
      <c r="CD122" s="37">
        <f t="shared" ca="1" si="13"/>
        <v>1.9874600733467418E-2</v>
      </c>
      <c r="CE122" s="37">
        <f t="shared" ca="1" si="14"/>
        <v>3.5774281320241359E-2</v>
      </c>
      <c r="CF122" s="13">
        <f t="shared" ca="1" si="15"/>
        <v>0.71179736928901116</v>
      </c>
      <c r="CG122" s="101">
        <f ca="1">AG122</f>
        <v>1.5</v>
      </c>
      <c r="CH122" s="101">
        <f>AW122</f>
        <v>0.8</v>
      </c>
      <c r="CI122" s="203">
        <f>IF(CH122&gt;0,AN122,0)</f>
        <v>24</v>
      </c>
      <c r="CJ122" s="102">
        <f>IF(AND(CH122&gt;0,CI122&gt;0),AP122,0)</f>
        <v>3.5000000000000003E-2</v>
      </c>
      <c r="CK122" s="102">
        <f ca="1">BB122</f>
        <v>0.40632911392405058</v>
      </c>
      <c r="CL122" s="37">
        <f t="shared" ca="1" si="16"/>
        <v>0.3</v>
      </c>
      <c r="CM122" s="37">
        <f t="shared" ca="1" si="17"/>
        <v>0.24999999999999994</v>
      </c>
      <c r="CN122" s="37">
        <f t="shared" ca="1" si="18"/>
        <v>8.3333333333333329E-2</v>
      </c>
      <c r="CO122" s="37">
        <f t="shared" ca="1" si="19"/>
        <v>0.15</v>
      </c>
      <c r="CP122" s="37">
        <f t="shared" ca="1" si="20"/>
        <v>0.71179736928901116</v>
      </c>
      <c r="CQ122" s="95">
        <f t="shared" ca="1" si="21"/>
        <v>0.44999999999999996</v>
      </c>
      <c r="CR122" s="95">
        <f t="shared" ca="1" si="22"/>
        <v>0.19999999999999996</v>
      </c>
      <c r="CS122" s="95">
        <f t="shared" ca="1" si="23"/>
        <v>2</v>
      </c>
      <c r="CT122" s="103">
        <f t="shared" ca="1" si="24"/>
        <v>5.2500000000000003E-3</v>
      </c>
      <c r="CU122" s="95">
        <f t="shared" ca="1" si="25"/>
        <v>0.28922399435667412</v>
      </c>
      <c r="CV122" s="37">
        <f ca="1">$CB122^2/$CF122^2</f>
        <v>0.10300896714674761</v>
      </c>
      <c r="CW122" s="37">
        <f ca="1">$CD122^2/$CF122^2</f>
        <v>7.7962196851698133E-4</v>
      </c>
      <c r="CX122" s="37">
        <f ca="1">$CE122^2/$CF122^2</f>
        <v>2.5259751779950204E-3</v>
      </c>
      <c r="CY122" s="37">
        <f ca="1">$CC122^2/$CF122^2</f>
        <v>0.89368543570674019</v>
      </c>
      <c r="DA122" s="98" t="s">
        <v>456</v>
      </c>
      <c r="DB122" s="35">
        <f ca="1">OFFSET($A$1,ROW(DB122)-1,MATCH(DA122,$1:$1,0)-1)</f>
        <v>0.8</v>
      </c>
      <c r="DC122" s="9">
        <f ca="1">BB122</f>
        <v>0.40632911392405058</v>
      </c>
      <c r="DD122" s="9">
        <f ca="1">$DC122+$CA122</f>
        <v>0.6955531082807247</v>
      </c>
      <c r="DE122" s="9">
        <f ca="1">$DC122-$CA122</f>
        <v>0.11710511956737651</v>
      </c>
      <c r="DF122" s="10">
        <f t="shared" ca="1" si="37"/>
        <v>0.71179736928901116</v>
      </c>
    </row>
    <row r="123" spans="1:110" s="8" customFormat="1" ht="32.4" customHeight="1">
      <c r="A123" s="206" t="s">
        <v>560</v>
      </c>
      <c r="B123" s="209" t="s">
        <v>2341</v>
      </c>
      <c r="C123" s="206" t="str">
        <f>E123&amp;" = "&amp;F123</f>
        <v>Parameter-Variation: f_Measure = 90%</v>
      </c>
      <c r="D123" s="206"/>
      <c r="E123" s="206" t="s">
        <v>197</v>
      </c>
      <c r="F123" s="206" t="str">
        <f t="shared" si="36"/>
        <v>90%</v>
      </c>
      <c r="G123" s="206" t="s">
        <v>2170</v>
      </c>
      <c r="H123" s="206" t="s">
        <v>2171</v>
      </c>
      <c r="I123" s="156" t="s">
        <v>80</v>
      </c>
      <c r="J123" s="156" t="s">
        <v>134</v>
      </c>
      <c r="K123" s="156" t="s">
        <v>155</v>
      </c>
      <c r="L123" s="156" t="s">
        <v>66</v>
      </c>
      <c r="M123" s="156" t="s">
        <v>188</v>
      </c>
      <c r="N123" s="7">
        <v>1925</v>
      </c>
      <c r="O123" s="156">
        <v>1</v>
      </c>
      <c r="P123" s="156">
        <v>0</v>
      </c>
      <c r="Q123" s="156" t="s">
        <v>435</v>
      </c>
      <c r="R123" s="156" t="s">
        <v>58</v>
      </c>
      <c r="S123" s="19">
        <v>24</v>
      </c>
      <c r="T123" s="19">
        <v>0.9</v>
      </c>
      <c r="U123" s="19">
        <v>2016</v>
      </c>
      <c r="V123" s="19">
        <v>3.5000000000000003E-2</v>
      </c>
      <c r="W123" s="28" t="s">
        <v>59</v>
      </c>
      <c r="X123" s="19" t="e">
        <v>#N/A</v>
      </c>
      <c r="Y123" s="105">
        <f ca="1">IFERROR(OFFSET(Tab.Const.ConstrBorder!$A$1,MATCH(Q123,Tab.Const.ConstrBorder!$A:$A,0)-1,MATCH(Y$87,Tab.Const.ConstrBorder!$1:$1,0)-1),0)</f>
        <v>0</v>
      </c>
      <c r="Z123" s="18">
        <f t="shared" si="27"/>
        <v>1925</v>
      </c>
      <c r="AA123" s="17">
        <f>MATCH(Z123,Tab.Year.Period!$11:$11,1)-3</f>
        <v>3</v>
      </c>
      <c r="AB123" s="17">
        <f>MATCH(AB$88&amp;"."&amp;TEXT(AA123,"00"),Tab.U.Default!$A:$A,0)</f>
        <v>26</v>
      </c>
      <c r="AC123" s="105">
        <f ca="1">OFFSET(Tab.U.Default!$A$1,$AB123-1,MATCH("U_Class_"&amp;IF($J123="TopCeiling","UpperCeiling",$J123)&amp;"_"&amp;AC$87,Tab.U.Default!$1:$1,0)-1)</f>
        <v>1.5</v>
      </c>
      <c r="AD123" s="105">
        <f ca="1">OFFSET(Tab.U.Default!$A$1,$AB123-1,MATCH("U_Class_"&amp;IF($J123="TopCeiling","UpperCeiling",$J123)&amp;"_"&amp;AD$87,Tab.U.Default!$1:$1,0)-1)</f>
        <v>1.5</v>
      </c>
      <c r="AE123" s="105">
        <f ca="1">OFFSET(Tab.U.Default!$A$1,$AB123-1,MATCH("U_Class_"&amp;IF($J123="TopCeiling","UpperCeiling",$J123)&amp;"_"&amp;AE$87,Tab.U.Default!$1:$1,0)-1)</f>
        <v>1.5</v>
      </c>
      <c r="AF123" s="26">
        <f t="shared" ca="1" si="0"/>
        <v>1.5</v>
      </c>
      <c r="AG123" s="26">
        <f t="shared" ca="1" si="1"/>
        <v>1.5</v>
      </c>
      <c r="AH123" s="18" t="str">
        <f t="shared" si="2"/>
        <v>Refurbish</v>
      </c>
      <c r="AI123" s="18" t="str">
        <f t="shared" si="28"/>
        <v>Add</v>
      </c>
      <c r="AJ123" s="18">
        <f t="shared" si="3"/>
        <v>2016</v>
      </c>
      <c r="AK123" s="17">
        <f>MATCH(AJ123,Tab.Year.Period!$11:$11,1)-3</f>
        <v>12</v>
      </c>
      <c r="AL123" s="17">
        <f>MATCH(AL$88&amp;"."&amp;TEXT(AK123,"00"),Tab.Insulation.Default!$A:$A,0)</f>
        <v>23</v>
      </c>
      <c r="AM123" s="20" t="e">
        <f ca="1">IF(ISNA(IF(S123="",#N/A,S123)),OFFSET(Tab.Insulation.Default!$A$1,$AL123-1,MATCH(AM$87&amp;"_"&amp;$K123,Tab.Insulation.Default!$1:$1,0)-1),#N/A)</f>
        <v>#N/A</v>
      </c>
      <c r="AN123" s="27">
        <f t="shared" si="29"/>
        <v>24</v>
      </c>
      <c r="AO123" s="22" t="e">
        <f ca="1">IF(ISNA(IF(V123="",#N/A,V123)),OFFSET(Tab.Insulation.Default!$A$1,$AL123-1,MATCH(AO$87&amp;"_"&amp;$K123,Tab.Insulation.Default!$1:$1,0)-1),#N/A)</f>
        <v>#N/A</v>
      </c>
      <c r="AP123" s="23">
        <f t="shared" si="30"/>
        <v>3.5000000000000003E-2</v>
      </c>
      <c r="AQ123" s="29" t="str">
        <f t="shared" si="4"/>
        <v>Gen.Refurbished.12</v>
      </c>
      <c r="AR123" s="17">
        <f>MATCH(AR$88&amp;"."&amp;AQ123,Tab.Measure.f.Default!$A:$A,0)</f>
        <v>23</v>
      </c>
      <c r="AS123" s="21">
        <f ca="1">OFFSET(Tab.Measure.f.Default!$A$1,AR123-1,MATCH(AS$87&amp;"_"&amp;$J123,Tab.Measure.f.Default!$1:$1,0)-1)</f>
        <v>0.75</v>
      </c>
      <c r="AT123" s="29" t="str">
        <f t="shared" si="5"/>
        <v>MUH.NA.03</v>
      </c>
      <c r="AU123" s="17">
        <f>MATCH(AU$88&amp;"."&amp;AT123,Tab.Measure.f.Default!$A:$A,0)</f>
        <v>38</v>
      </c>
      <c r="AV123" s="21">
        <f ca="1">OFFSET(Tab.Measure.f.Default!$A$1,AU123-1,MATCH(AV$87&amp;"_"&amp;$J123,Tab.Measure.f.Default!$1:$1,0)-1)</f>
        <v>0.37</v>
      </c>
      <c r="AW123" s="30">
        <f t="shared" si="33"/>
        <v>0.9</v>
      </c>
      <c r="AX123" s="9">
        <f t="shared" ca="1" si="6"/>
        <v>0.66666666666666663</v>
      </c>
      <c r="AY123" s="9">
        <f t="shared" si="7"/>
        <v>6.8571428571428559</v>
      </c>
      <c r="AZ123" s="9">
        <f t="shared" ca="1" si="38"/>
        <v>7.5238095238095228</v>
      </c>
      <c r="BA123" s="9">
        <f t="shared" ca="1" si="39"/>
        <v>0.13291139240506331</v>
      </c>
      <c r="BB123" s="9">
        <f t="shared" ca="1" si="8"/>
        <v>0.26962025316455696</v>
      </c>
      <c r="BC123" s="32" t="str">
        <f t="shared" si="9"/>
        <v>D</v>
      </c>
      <c r="BD123" s="20" t="str">
        <f ca="1">OFFSET(Tab.Uncertainty.Levels!$A$1,MATCH(BD$88,Tab.Uncertainty.Levels!$A:$A,0)-1,MATCH(BD$87&amp;"_"&amp;BC123,Tab.Uncertainty.Levels!$1:$1,0)-1)</f>
        <v>Use of default values; building constructed until 1983</v>
      </c>
      <c r="BE123" s="24">
        <f ca="1">OFFSET(Tab.Uncertainty.Levels!$A$1,MATCH(BE$88,Tab.Uncertainty.Levels!$A:$A,0)-1,MATCH(BE$87&amp;"_"&amp;BC123,Tab.Uncertainty.Levels!$1:$1,0)-1)</f>
        <v>0.3</v>
      </c>
      <c r="BF123" s="32" t="str">
        <f t="shared" si="10"/>
        <v>-</v>
      </c>
      <c r="BG123" s="20" t="e">
        <f ca="1">OFFSET(Tab.Uncertainty.Levels!$A$1,MATCH(BG$88,Tab.Uncertainty.Levels!$A:$A,0)-1,MATCH(BG$87&amp;"_"&amp;BF123,Tab.Uncertainty.Levels!$1:$1,0)-1)</f>
        <v>#N/A</v>
      </c>
      <c r="BH123" s="24" t="e">
        <f ca="1">OFFSET(Tab.Uncertainty.Levels!$A$1,MATCH(BH$88,Tab.Uncertainty.Levels!$A:$A,0)-1,MATCH(BH$87&amp;"_"&amp;BF123,Tab.Uncertainty.Levels!$1:$1,0)-1)</f>
        <v>#N/A</v>
      </c>
      <c r="BI123" s="32" t="str">
        <f t="shared" si="31"/>
        <v>D</v>
      </c>
      <c r="BJ123" s="13">
        <f ca="1">IF(BF123="-",BE123,BH123)</f>
        <v>0.3</v>
      </c>
      <c r="BK123" s="32" t="str">
        <f>IF(OR($L123="NoDataSource",IFERROR(IF($S123="",#N/A,$S123),0)=0),IF(IFERROR(IF(U123="",#N/A,U123),0)=0,"E","D"),IF($L123="DesignDataPlusQA","A",IF($L123="DesignData","B","C")))</f>
        <v>C</v>
      </c>
      <c r="BL123" s="20" t="str">
        <f ca="1">OFFSET(Tab.Uncertainty.Levels!$A$1,MATCH(BL$88,Tab.Uncertainty.Levels!$A:$A,0)-1,MATCH(BL$87&amp;"_"&amp;BK123,Tab.Uncertainty.Levels!$1:$1,0)-1)</f>
        <v>Insulation thickness determined by inspection onsite / record or statement of owner</v>
      </c>
      <c r="BM123" s="24">
        <f ca="1">OFFSET(Tab.Uncertainty.Levels!$A$1,MATCH(BM$88,Tab.Uncertainty.Levels!$A:$A,0)-1,MATCH(BM$87&amp;"_"&amp;BK123,Tab.Uncertainty.Levels!$1:$1,0)-1)</f>
        <v>0.25</v>
      </c>
      <c r="BN123" s="34">
        <f ca="1">OFFSET(Tab.Uncertainty.Levels!$A$1,MATCH(BN$88,Tab.Uncertainty.Levels!$A:$A,0)-1,MATCH(BN$87&amp;"_"&amp;BK123,Tab.Uncertainty.Levels!$1:$1,0)-1)</f>
        <v>2</v>
      </c>
      <c r="BO123" s="13">
        <f ca="1">IFERROR(MIN(BM123,BN123/AN123),0)</f>
        <v>8.3333333333333329E-2</v>
      </c>
      <c r="BP123" s="32" t="str">
        <f>IF(OR($L123="NoDataSource",IFERROR(IF($V123="",#N/A,$V123),0)=0),IF(IFERROR(IF(U123="",#N/A,U123),0)=0,"E","D"),IF($L123="DesignDataPlusQA","A",IF($L123="DesignData","B","C")))</f>
        <v>C</v>
      </c>
      <c r="BQ123" s="20" t="str">
        <f ca="1">OFFSET(Tab.Uncertainty.Levels!$A$1,MATCH(BQ$88,Tab.Uncertainty.Levels!$A:$A,0)-1,MATCH(BQ$87&amp;"_"&amp;BP123,Tab.Uncertainty.Levels!$1:$1,0)-1)</f>
        <v>Thermal conductivity of Insulation determined by inspection onsite / record or statement of owner</v>
      </c>
      <c r="BR123" s="97">
        <f ca="1">OFFSET(Tab.Uncertainty.Levels!$A$1,MATCH(BR$88,Tab.Uncertainty.Levels!$A:$A,0)-1,MATCH(BR$87&amp;"_"&amp;BP123,Tab.Uncertainty.Levels!$1:$1,0)-1)</f>
        <v>0.15</v>
      </c>
      <c r="BS123" s="32" t="str">
        <f>IF(L123="NoDataSource","D",IF(IFERROR(IF($T123="",#N/A,$T123),0)=0,IF(OR(IFERROR(IF($S123="",#N/A,$S123),0)&gt;0,$R123="Refurbish"),"D","E"),IF($L123="DesignDataPlusQA","A",IF($L123="DesignData","B","C"))))</f>
        <v>C</v>
      </c>
      <c r="BT123" s="20" t="str">
        <f ca="1">OFFSET(Tab.Uncertainty.Levels!$A$1,MATCH(BT$88,Tab.Uncertainty.Levels!$A:$A,0)-1,MATCH(BT$87&amp;"_"&amp;BS123,Tab.Uncertainty.Levels!$1:$1,0)-1)</f>
        <v>Insulation fraction determined by inspection onsite / record or statement of owner</v>
      </c>
      <c r="BU123" s="33">
        <f ca="1">OFFSET(Tab.Uncertainty.Levels!$A$1,MATCH(BU$88,Tab.Uncertainty.Levels!$A:$A,0)-1,MATCH(BU$87&amp;"_"&amp;BS123,Tab.Uncertainty.Levels!$1:$1,0)-1)</f>
        <v>0.2</v>
      </c>
      <c r="BV123" s="13">
        <f ca="1">IFERROR(MIN(BU123/AW123,1,(1-AW123)/AW123),0)</f>
        <v>0.11111111111111108</v>
      </c>
      <c r="BW123" s="96">
        <f ca="1">ABS(1+(AW123*(1/(1+AN123/100/AP123*AG123)^2-1)))*BJ123*$AG123</f>
        <v>4.8179778881589502E-2</v>
      </c>
      <c r="BX123" s="96">
        <f ca="1">ABS(-AG123+1/(1/AG123+AN123/100/AP123))*BV123*AW123</f>
        <v>0.13670886075949362</v>
      </c>
      <c r="BY123" s="96">
        <f ca="1">ABS(-AW123*AP123/((AP123/AG123+AN123/100)^2))*(BO123*AN123/100)</f>
        <v>9.0850825188271145E-3</v>
      </c>
      <c r="BZ123" s="202">
        <f ca="1">ABS(AW123*AN123/100/(1/AG123*AP123+AN123/100)^2)*(BR123*AP123)</f>
        <v>1.6353148533888806E-2</v>
      </c>
      <c r="CA123" s="103">
        <f t="shared" ca="1" si="32"/>
        <v>0.14615255007895961</v>
      </c>
      <c r="CB123" s="37">
        <f t="shared" ca="1" si="11"/>
        <v>0.17869495453735074</v>
      </c>
      <c r="CC123" s="37">
        <f t="shared" ca="1" si="12"/>
        <v>0.50704225352112664</v>
      </c>
      <c r="CD123" s="37">
        <f t="shared" ca="1" si="13"/>
        <v>3.3695845961847048E-2</v>
      </c>
      <c r="CE123" s="37">
        <f t="shared" ca="1" si="14"/>
        <v>6.0652522731324682E-2</v>
      </c>
      <c r="CF123" s="13">
        <f t="shared" ca="1" si="15"/>
        <v>0.54206814348534327</v>
      </c>
      <c r="CG123" s="101">
        <f ca="1">AG123</f>
        <v>1.5</v>
      </c>
      <c r="CH123" s="101">
        <f>AW123</f>
        <v>0.9</v>
      </c>
      <c r="CI123" s="203">
        <f>IF(CH123&gt;0,AN123,0)</f>
        <v>24</v>
      </c>
      <c r="CJ123" s="102">
        <f>IF(AND(CH123&gt;0,CI123&gt;0),AP123,0)</f>
        <v>3.5000000000000003E-2</v>
      </c>
      <c r="CK123" s="102">
        <f ca="1">BB123</f>
        <v>0.26962025316455696</v>
      </c>
      <c r="CL123" s="37">
        <f t="shared" ca="1" si="16"/>
        <v>0.3</v>
      </c>
      <c r="CM123" s="37">
        <f t="shared" ca="1" si="17"/>
        <v>0.11111111111111108</v>
      </c>
      <c r="CN123" s="37">
        <f t="shared" ca="1" si="18"/>
        <v>8.3333333333333329E-2</v>
      </c>
      <c r="CO123" s="37">
        <f t="shared" ca="1" si="19"/>
        <v>0.15</v>
      </c>
      <c r="CP123" s="37">
        <f t="shared" ca="1" si="20"/>
        <v>0.54206814348534327</v>
      </c>
      <c r="CQ123" s="95">
        <f t="shared" ca="1" si="21"/>
        <v>0.44999999999999996</v>
      </c>
      <c r="CR123" s="95">
        <f t="shared" ca="1" si="22"/>
        <v>9.9999999999999978E-2</v>
      </c>
      <c r="CS123" s="95">
        <f t="shared" ca="1" si="23"/>
        <v>2</v>
      </c>
      <c r="CT123" s="103">
        <f t="shared" ca="1" si="24"/>
        <v>5.2500000000000003E-3</v>
      </c>
      <c r="CU123" s="95">
        <f t="shared" ca="1" si="25"/>
        <v>0.14615255007895964</v>
      </c>
      <c r="CV123" s="37">
        <f ca="1">$CB123^2/$CF123^2</f>
        <v>0.10867178740447035</v>
      </c>
      <c r="CW123" s="37">
        <f ca="1">$CD123^2/$CF123^2</f>
        <v>3.864069756068165E-3</v>
      </c>
      <c r="CX123" s="37">
        <f ca="1">$CE123^2/$CF123^2</f>
        <v>1.2519586009660851E-2</v>
      </c>
      <c r="CY123" s="37">
        <f ca="1">$CC123^2/$CF123^2</f>
        <v>0.87494455682980055</v>
      </c>
      <c r="DA123" s="98" t="s">
        <v>456</v>
      </c>
      <c r="DB123" s="35">
        <f ca="1">OFFSET($A$1,ROW(DB123)-1,MATCH(DA123,$1:$1,0)-1)</f>
        <v>0.9</v>
      </c>
      <c r="DC123" s="9">
        <f ca="1">BB123</f>
        <v>0.26962025316455696</v>
      </c>
      <c r="DD123" s="9">
        <f ca="1">$DC123+$CA123</f>
        <v>0.41577280324351656</v>
      </c>
      <c r="DE123" s="9">
        <f ca="1">$DC123-$CA123</f>
        <v>0.12346770308559735</v>
      </c>
      <c r="DF123" s="10">
        <f t="shared" ca="1" si="37"/>
        <v>0.54206814348534316</v>
      </c>
    </row>
    <row r="124" spans="1:110" s="8" customFormat="1" ht="32.4" customHeight="1">
      <c r="A124" s="206" t="s">
        <v>560</v>
      </c>
      <c r="B124" s="209" t="s">
        <v>2341</v>
      </c>
      <c r="C124" s="206" t="str">
        <f>E124&amp;" = "&amp;F124</f>
        <v>Parameter-Variation: f_Measure = 100%</v>
      </c>
      <c r="D124" s="206"/>
      <c r="E124" s="206" t="s">
        <v>197</v>
      </c>
      <c r="F124" s="206" t="str">
        <f t="shared" si="36"/>
        <v>100%</v>
      </c>
      <c r="G124" s="206" t="s">
        <v>2170</v>
      </c>
      <c r="H124" s="206" t="s">
        <v>2171</v>
      </c>
      <c r="I124" s="156" t="s">
        <v>80</v>
      </c>
      <c r="J124" s="156" t="s">
        <v>134</v>
      </c>
      <c r="K124" s="156" t="s">
        <v>155</v>
      </c>
      <c r="L124" s="156" t="s">
        <v>66</v>
      </c>
      <c r="M124" s="156" t="s">
        <v>188</v>
      </c>
      <c r="N124" s="7">
        <v>1925</v>
      </c>
      <c r="O124" s="156">
        <v>1</v>
      </c>
      <c r="P124" s="156">
        <v>0</v>
      </c>
      <c r="Q124" s="156" t="s">
        <v>435</v>
      </c>
      <c r="R124" s="156" t="s">
        <v>58</v>
      </c>
      <c r="S124" s="19">
        <v>24</v>
      </c>
      <c r="T124" s="19">
        <v>1</v>
      </c>
      <c r="U124" s="19">
        <v>2016</v>
      </c>
      <c r="V124" s="19">
        <v>3.5000000000000003E-2</v>
      </c>
      <c r="W124" s="28" t="s">
        <v>59</v>
      </c>
      <c r="X124" s="19" t="e">
        <v>#N/A</v>
      </c>
      <c r="Y124" s="105">
        <f ca="1">IFERROR(OFFSET(Tab.Const.ConstrBorder!$A$1,MATCH(Q124,Tab.Const.ConstrBorder!$A:$A,0)-1,MATCH(Y$87,Tab.Const.ConstrBorder!$1:$1,0)-1),0)</f>
        <v>0</v>
      </c>
      <c r="Z124" s="18">
        <f t="shared" si="27"/>
        <v>1925</v>
      </c>
      <c r="AA124" s="17">
        <f>MATCH(Z124,Tab.Year.Period!$11:$11,1)-3</f>
        <v>3</v>
      </c>
      <c r="AB124" s="17">
        <f>MATCH(AB$88&amp;"."&amp;TEXT(AA124,"00"),Tab.U.Default!$A:$A,0)</f>
        <v>26</v>
      </c>
      <c r="AC124" s="105">
        <f ca="1">OFFSET(Tab.U.Default!$A$1,$AB124-1,MATCH("U_Class_"&amp;IF($J124="TopCeiling","UpperCeiling",$J124)&amp;"_"&amp;AC$87,Tab.U.Default!$1:$1,0)-1)</f>
        <v>1.5</v>
      </c>
      <c r="AD124" s="105">
        <f ca="1">OFFSET(Tab.U.Default!$A$1,$AB124-1,MATCH("U_Class_"&amp;IF($J124="TopCeiling","UpperCeiling",$J124)&amp;"_"&amp;AD$87,Tab.U.Default!$1:$1,0)-1)</f>
        <v>1.5</v>
      </c>
      <c r="AE124" s="105">
        <f ca="1">OFFSET(Tab.U.Default!$A$1,$AB124-1,MATCH("U_Class_"&amp;IF($J124="TopCeiling","UpperCeiling",$J124)&amp;"_"&amp;AE$87,Tab.U.Default!$1:$1,0)-1)</f>
        <v>1.5</v>
      </c>
      <c r="AF124" s="26">
        <f t="shared" ca="1" si="0"/>
        <v>1.5</v>
      </c>
      <c r="AG124" s="26">
        <f t="shared" ca="1" si="1"/>
        <v>1.5</v>
      </c>
      <c r="AH124" s="18" t="str">
        <f t="shared" si="2"/>
        <v>Refurbish</v>
      </c>
      <c r="AI124" s="18" t="str">
        <f t="shared" si="28"/>
        <v>Add</v>
      </c>
      <c r="AJ124" s="18">
        <f t="shared" si="3"/>
        <v>2016</v>
      </c>
      <c r="AK124" s="17">
        <f>MATCH(AJ124,Tab.Year.Period!$11:$11,1)-3</f>
        <v>12</v>
      </c>
      <c r="AL124" s="17">
        <f>MATCH(AL$88&amp;"."&amp;TEXT(AK124,"00"),Tab.Insulation.Default!$A:$A,0)</f>
        <v>23</v>
      </c>
      <c r="AM124" s="20" t="e">
        <f ca="1">IF(ISNA(IF(S124="",#N/A,S124)),OFFSET(Tab.Insulation.Default!$A$1,$AL124-1,MATCH(AM$87&amp;"_"&amp;$K124,Tab.Insulation.Default!$1:$1,0)-1),#N/A)</f>
        <v>#N/A</v>
      </c>
      <c r="AN124" s="27">
        <f t="shared" si="29"/>
        <v>24</v>
      </c>
      <c r="AO124" s="22" t="e">
        <f ca="1">IF(ISNA(IF(V124="",#N/A,V124)),OFFSET(Tab.Insulation.Default!$A$1,$AL124-1,MATCH(AO$87&amp;"_"&amp;$K124,Tab.Insulation.Default!$1:$1,0)-1),#N/A)</f>
        <v>#N/A</v>
      </c>
      <c r="AP124" s="23">
        <f t="shared" si="30"/>
        <v>3.5000000000000003E-2</v>
      </c>
      <c r="AQ124" s="29" t="str">
        <f t="shared" si="4"/>
        <v>Gen.Refurbished.12</v>
      </c>
      <c r="AR124" s="17">
        <f>MATCH(AR$88&amp;"."&amp;AQ124,Tab.Measure.f.Default!$A:$A,0)</f>
        <v>23</v>
      </c>
      <c r="AS124" s="21">
        <f ca="1">OFFSET(Tab.Measure.f.Default!$A$1,AR124-1,MATCH(AS$87&amp;"_"&amp;$J124,Tab.Measure.f.Default!$1:$1,0)-1)</f>
        <v>0.75</v>
      </c>
      <c r="AT124" s="29" t="str">
        <f t="shared" si="5"/>
        <v>MUH.NA.03</v>
      </c>
      <c r="AU124" s="17">
        <f>MATCH(AU$88&amp;"."&amp;AT124,Tab.Measure.f.Default!$A:$A,0)</f>
        <v>38</v>
      </c>
      <c r="AV124" s="21">
        <f ca="1">OFFSET(Tab.Measure.f.Default!$A$1,AU124-1,MATCH(AV$87&amp;"_"&amp;$J124,Tab.Measure.f.Default!$1:$1,0)-1)</f>
        <v>0.37</v>
      </c>
      <c r="AW124" s="30">
        <f t="shared" si="33"/>
        <v>1</v>
      </c>
      <c r="AX124" s="9">
        <f t="shared" ca="1" si="6"/>
        <v>0.66666666666666663</v>
      </c>
      <c r="AY124" s="9">
        <f t="shared" si="7"/>
        <v>6.8571428571428559</v>
      </c>
      <c r="AZ124" s="9">
        <f t="shared" ca="1" si="38"/>
        <v>7.5238095238095228</v>
      </c>
      <c r="BA124" s="9">
        <f t="shared" ca="1" si="39"/>
        <v>0.13291139240506331</v>
      </c>
      <c r="BB124" s="9">
        <f t="shared" ca="1" si="8"/>
        <v>0.13291139240506331</v>
      </c>
      <c r="BC124" s="32" t="str">
        <f t="shared" si="9"/>
        <v>D</v>
      </c>
      <c r="BD124" s="20" t="str">
        <f ca="1">OFFSET(Tab.Uncertainty.Levels!$A$1,MATCH(BD$88,Tab.Uncertainty.Levels!$A:$A,0)-1,MATCH(BD$87&amp;"_"&amp;BC124,Tab.Uncertainty.Levels!$1:$1,0)-1)</f>
        <v>Use of default values; building constructed until 1983</v>
      </c>
      <c r="BE124" s="24">
        <f ca="1">OFFSET(Tab.Uncertainty.Levels!$A$1,MATCH(BE$88,Tab.Uncertainty.Levels!$A:$A,0)-1,MATCH(BE$87&amp;"_"&amp;BC124,Tab.Uncertainty.Levels!$1:$1,0)-1)</f>
        <v>0.3</v>
      </c>
      <c r="BF124" s="32" t="str">
        <f t="shared" si="10"/>
        <v>-</v>
      </c>
      <c r="BG124" s="20" t="e">
        <f ca="1">OFFSET(Tab.Uncertainty.Levels!$A$1,MATCH(BG$88,Tab.Uncertainty.Levels!$A:$A,0)-1,MATCH(BG$87&amp;"_"&amp;BF124,Tab.Uncertainty.Levels!$1:$1,0)-1)</f>
        <v>#N/A</v>
      </c>
      <c r="BH124" s="24" t="e">
        <f ca="1">OFFSET(Tab.Uncertainty.Levels!$A$1,MATCH(BH$88,Tab.Uncertainty.Levels!$A:$A,0)-1,MATCH(BH$87&amp;"_"&amp;BF124,Tab.Uncertainty.Levels!$1:$1,0)-1)</f>
        <v>#N/A</v>
      </c>
      <c r="BI124" s="32" t="str">
        <f t="shared" si="31"/>
        <v>D</v>
      </c>
      <c r="BJ124" s="13">
        <f ca="1">IF(BF124="-",BE124,BH124)</f>
        <v>0.3</v>
      </c>
      <c r="BK124" s="32" t="str">
        <f>IF(OR($L124="NoDataSource",IFERROR(IF($S124="",#N/A,$S124),0)=0),IF(IFERROR(IF(U124="",#N/A,U124),0)=0,"E","D"),IF($L124="DesignDataPlusQA","A",IF($L124="DesignData","B","C")))</f>
        <v>C</v>
      </c>
      <c r="BL124" s="20" t="str">
        <f ca="1">OFFSET(Tab.Uncertainty.Levels!$A$1,MATCH(BL$88,Tab.Uncertainty.Levels!$A:$A,0)-1,MATCH(BL$87&amp;"_"&amp;BK124,Tab.Uncertainty.Levels!$1:$1,0)-1)</f>
        <v>Insulation thickness determined by inspection onsite / record or statement of owner</v>
      </c>
      <c r="BM124" s="24">
        <f ca="1">OFFSET(Tab.Uncertainty.Levels!$A$1,MATCH(BM$88,Tab.Uncertainty.Levels!$A:$A,0)-1,MATCH(BM$87&amp;"_"&amp;BK124,Tab.Uncertainty.Levels!$1:$1,0)-1)</f>
        <v>0.25</v>
      </c>
      <c r="BN124" s="34">
        <f ca="1">OFFSET(Tab.Uncertainty.Levels!$A$1,MATCH(BN$88,Tab.Uncertainty.Levels!$A:$A,0)-1,MATCH(BN$87&amp;"_"&amp;BK124,Tab.Uncertainty.Levels!$1:$1,0)-1)</f>
        <v>2</v>
      </c>
      <c r="BO124" s="13">
        <f ca="1">IFERROR(MIN(BM124,BN124/AN124),0)</f>
        <v>8.3333333333333329E-2</v>
      </c>
      <c r="BP124" s="32" t="str">
        <f>IF(OR($L124="NoDataSource",IFERROR(IF($V124="",#N/A,$V124),0)=0),IF(IFERROR(IF(U124="",#N/A,U124),0)=0,"E","D"),IF($L124="DesignDataPlusQA","A",IF($L124="DesignData","B","C")))</f>
        <v>C</v>
      </c>
      <c r="BQ124" s="20" t="str">
        <f ca="1">OFFSET(Tab.Uncertainty.Levels!$A$1,MATCH(BQ$88,Tab.Uncertainty.Levels!$A:$A,0)-1,MATCH(BQ$87&amp;"_"&amp;BP124,Tab.Uncertainty.Levels!$1:$1,0)-1)</f>
        <v>Thermal conductivity of Insulation determined by inspection onsite / record or statement of owner</v>
      </c>
      <c r="BR124" s="97">
        <f ca="1">OFFSET(Tab.Uncertainty.Levels!$A$1,MATCH(BR$88,Tab.Uncertainty.Levels!$A:$A,0)-1,MATCH(BR$87&amp;"_"&amp;BP124,Tab.Uncertainty.Levels!$1:$1,0)-1)</f>
        <v>0.15</v>
      </c>
      <c r="BS124" s="32" t="str">
        <f>IF(L124="NoDataSource","D",IF(IFERROR(IF($T124="",#N/A,$T124),0)=0,IF(OR(IFERROR(IF($S124="",#N/A,$S124),0)&gt;0,$R124="Refurbish"),"D","E"),IF($L124="DesignDataPlusQA","A",IF($L124="DesignData","B","C"))))</f>
        <v>C</v>
      </c>
      <c r="BT124" s="20" t="str">
        <f ca="1">OFFSET(Tab.Uncertainty.Levels!$A$1,MATCH(BT$88,Tab.Uncertainty.Levels!$A:$A,0)-1,MATCH(BT$87&amp;"_"&amp;BS124,Tab.Uncertainty.Levels!$1:$1,0)-1)</f>
        <v>Insulation fraction determined by inspection onsite / record or statement of owner</v>
      </c>
      <c r="BU124" s="33">
        <f ca="1">OFFSET(Tab.Uncertainty.Levels!$A$1,MATCH(BU$88,Tab.Uncertainty.Levels!$A:$A,0)-1,MATCH(BU$87&amp;"_"&amp;BS124,Tab.Uncertainty.Levels!$1:$1,0)-1)</f>
        <v>0.2</v>
      </c>
      <c r="BV124" s="13">
        <f ca="1">IFERROR(MIN(BU124/AW124,1,(1-AW124)/AW124),0)</f>
        <v>0</v>
      </c>
      <c r="BW124" s="96">
        <f ca="1">ABS(1+(AW124*(1/(1+AN124/100/AP124*AG124)^2-1)))*BJ124*$AG124</f>
        <v>3.5330876462105528E-3</v>
      </c>
      <c r="BX124" s="96">
        <f ca="1">ABS(-AG124+1/(1/AG124+AN124/100/AP124))*BV124*AW124</f>
        <v>0</v>
      </c>
      <c r="BY124" s="96">
        <f ca="1">ABS(-AW124*AP124/((AP124/AG124+AN124/100)^2))*(BO124*AN124/100)</f>
        <v>1.0094536132030126E-2</v>
      </c>
      <c r="BZ124" s="202">
        <f ca="1">ABS(AW124*AN124/100/(1/AG124*AP124+AN124/100)^2)*(BR124*AP124)</f>
        <v>1.8170165037654225E-2</v>
      </c>
      <c r="CA124" s="103">
        <f t="shared" ca="1" si="32"/>
        <v>2.1084052398252555E-2</v>
      </c>
      <c r="CB124" s="37">
        <f t="shared" ca="1" si="11"/>
        <v>2.6582278481012727E-2</v>
      </c>
      <c r="CC124" s="37">
        <f t="shared" ca="1" si="12"/>
        <v>0</v>
      </c>
      <c r="CD124" s="37">
        <f t="shared" ca="1" si="13"/>
        <v>7.5949367088607611E-2</v>
      </c>
      <c r="CE124" s="37">
        <f t="shared" ca="1" si="14"/>
        <v>0.13670886075949368</v>
      </c>
      <c r="CF124" s="13">
        <f t="shared" ca="1" si="15"/>
        <v>0.15863239423447159</v>
      </c>
      <c r="CG124" s="101">
        <f ca="1">AG124</f>
        <v>1.5</v>
      </c>
      <c r="CH124" s="101">
        <f>AW124</f>
        <v>1</v>
      </c>
      <c r="CI124" s="203">
        <f>IF(CH124&gt;0,AN124,0)</f>
        <v>24</v>
      </c>
      <c r="CJ124" s="102">
        <f>IF(AND(CH124&gt;0,CI124&gt;0),AP124,0)</f>
        <v>3.5000000000000003E-2</v>
      </c>
      <c r="CK124" s="102">
        <f ca="1">BB124</f>
        <v>0.13291139240506331</v>
      </c>
      <c r="CL124" s="37">
        <f t="shared" ca="1" si="16"/>
        <v>0.3</v>
      </c>
      <c r="CM124" s="37">
        <f t="shared" ca="1" si="17"/>
        <v>0</v>
      </c>
      <c r="CN124" s="37">
        <f t="shared" ca="1" si="18"/>
        <v>8.3333333333333329E-2</v>
      </c>
      <c r="CO124" s="37">
        <f t="shared" ca="1" si="19"/>
        <v>0.15</v>
      </c>
      <c r="CP124" s="37">
        <f t="shared" ca="1" si="20"/>
        <v>0.15863239423447159</v>
      </c>
      <c r="CQ124" s="95">
        <f t="shared" ca="1" si="21"/>
        <v>0.44999999999999996</v>
      </c>
      <c r="CR124" s="95">
        <f t="shared" ca="1" si="22"/>
        <v>0</v>
      </c>
      <c r="CS124" s="95">
        <f t="shared" ca="1" si="23"/>
        <v>2</v>
      </c>
      <c r="CT124" s="103">
        <f t="shared" ca="1" si="24"/>
        <v>5.2500000000000003E-3</v>
      </c>
      <c r="CU124" s="95">
        <f t="shared" ca="1" si="25"/>
        <v>2.1084052398252555E-2</v>
      </c>
      <c r="CV124" s="37">
        <f ca="1">$CB124^2/$CF124^2</f>
        <v>2.8080229226361168E-2</v>
      </c>
      <c r="CW124" s="37">
        <f ca="1">$CD124^2/$CF124^2</f>
        <v>0.22922636103151867</v>
      </c>
      <c r="CX124" s="37">
        <f ca="1">$CE124^2/$CF124^2</f>
        <v>0.74269340974212028</v>
      </c>
      <c r="CY124" s="37">
        <f ca="1">$CC124^2/$CF124^2</f>
        <v>0</v>
      </c>
      <c r="DA124" s="98" t="s">
        <v>456</v>
      </c>
      <c r="DB124" s="35">
        <f ca="1">OFFSET($A$1,ROW(DB124)-1,MATCH(DA124,$1:$1,0)-1)</f>
        <v>1</v>
      </c>
      <c r="DC124" s="9">
        <f ca="1">BB124</f>
        <v>0.13291139240506331</v>
      </c>
      <c r="DD124" s="9">
        <f ca="1">$DC124+$CA124</f>
        <v>0.15399544480331587</v>
      </c>
      <c r="DE124" s="9">
        <f ca="1">$DC124-$CA124</f>
        <v>0.11182734000681074</v>
      </c>
      <c r="DF124" s="10">
        <f ca="1">0.5*(DD124-DE124)/DC124</f>
        <v>0.15863239423447165</v>
      </c>
    </row>
    <row r="125" spans="1:110" s="8" customFormat="1" ht="32.4" customHeight="1">
      <c r="A125" s="206" t="s">
        <v>561</v>
      </c>
      <c r="B125" s="208" t="s">
        <v>2342</v>
      </c>
      <c r="C125" s="206" t="str">
        <f>E125&amp;" = "&amp;F125</f>
        <v>Parameter-Variation: d_Insulation = 0 cm</v>
      </c>
      <c r="D125" s="206"/>
      <c r="E125" s="206" t="s">
        <v>198</v>
      </c>
      <c r="F125" s="206" t="str">
        <f>S125&amp;" cm"</f>
        <v>0 cm</v>
      </c>
      <c r="G125" s="206" t="s">
        <v>2170</v>
      </c>
      <c r="H125" s="206" t="s">
        <v>2171</v>
      </c>
      <c r="I125" s="156" t="s">
        <v>80</v>
      </c>
      <c r="J125" s="156" t="s">
        <v>134</v>
      </c>
      <c r="K125" s="156" t="s">
        <v>155</v>
      </c>
      <c r="L125" s="156" t="s">
        <v>66</v>
      </c>
      <c r="M125" s="156" t="s">
        <v>188</v>
      </c>
      <c r="N125" s="7">
        <v>1925</v>
      </c>
      <c r="O125" s="156">
        <v>1</v>
      </c>
      <c r="P125" s="156">
        <v>0</v>
      </c>
      <c r="Q125" s="156" t="s">
        <v>435</v>
      </c>
      <c r="R125" s="156" t="s">
        <v>58</v>
      </c>
      <c r="S125" s="19">
        <v>0</v>
      </c>
      <c r="T125" s="19">
        <v>1</v>
      </c>
      <c r="U125" s="19">
        <v>2016</v>
      </c>
      <c r="V125" s="19">
        <v>3.5000000000000003E-2</v>
      </c>
      <c r="W125" s="28" t="s">
        <v>59</v>
      </c>
      <c r="X125" s="19" t="e">
        <v>#N/A</v>
      </c>
      <c r="Y125" s="105">
        <f ca="1">IFERROR(OFFSET(Tab.Const.ConstrBorder!$A$1,MATCH(Q125,Tab.Const.ConstrBorder!$A:$A,0)-1,MATCH(Y$87,Tab.Const.ConstrBorder!$1:$1,0)-1),0)</f>
        <v>0</v>
      </c>
      <c r="Z125" s="18">
        <f t="shared" si="27"/>
        <v>1925</v>
      </c>
      <c r="AA125" s="17">
        <f>MATCH(Z125,Tab.Year.Period!$11:$11,1)-3</f>
        <v>3</v>
      </c>
      <c r="AB125" s="17">
        <f>MATCH(AB$88&amp;"."&amp;TEXT(AA125,"00"),Tab.U.Default!$A:$A,0)</f>
        <v>26</v>
      </c>
      <c r="AC125" s="105">
        <f ca="1">OFFSET(Tab.U.Default!$A$1,$AB125-1,MATCH("U_Class_"&amp;IF($J125="TopCeiling","UpperCeiling",$J125)&amp;"_"&amp;AC$87,Tab.U.Default!$1:$1,0)-1)</f>
        <v>1.5</v>
      </c>
      <c r="AD125" s="105">
        <f ca="1">OFFSET(Tab.U.Default!$A$1,$AB125-1,MATCH("U_Class_"&amp;IF($J125="TopCeiling","UpperCeiling",$J125)&amp;"_"&amp;AD$87,Tab.U.Default!$1:$1,0)-1)</f>
        <v>1.5</v>
      </c>
      <c r="AE125" s="105">
        <f ca="1">OFFSET(Tab.U.Default!$A$1,$AB125-1,MATCH("U_Class_"&amp;IF($J125="TopCeiling","UpperCeiling",$J125)&amp;"_"&amp;AE$87,Tab.U.Default!$1:$1,0)-1)</f>
        <v>1.5</v>
      </c>
      <c r="AF125" s="26">
        <f t="shared" ca="1" si="0"/>
        <v>1.5</v>
      </c>
      <c r="AG125" s="26">
        <f t="shared" ca="1" si="1"/>
        <v>1.5</v>
      </c>
      <c r="AH125" s="18" t="str">
        <f t="shared" si="2"/>
        <v>Refurbish</v>
      </c>
      <c r="AI125" s="18" t="str">
        <f t="shared" si="28"/>
        <v>Add</v>
      </c>
      <c r="AJ125" s="18">
        <f t="shared" si="3"/>
        <v>2016</v>
      </c>
      <c r="AK125" s="17">
        <f>MATCH(AJ125,Tab.Year.Period!$11:$11,1)-3</f>
        <v>12</v>
      </c>
      <c r="AL125" s="17">
        <f>MATCH(AL$88&amp;"."&amp;TEXT(AK125,"00"),Tab.Insulation.Default!$A:$A,0)</f>
        <v>23</v>
      </c>
      <c r="AM125" s="20" t="e">
        <f ca="1">IF(ISNA(IF(S125="",#N/A,S125)),OFFSET(Tab.Insulation.Default!$A$1,$AL125-1,MATCH(AM$87&amp;"_"&amp;$K125,Tab.Insulation.Default!$1:$1,0)-1),#N/A)</f>
        <v>#N/A</v>
      </c>
      <c r="AN125" s="27">
        <f t="shared" si="29"/>
        <v>0</v>
      </c>
      <c r="AO125" s="22" t="e">
        <f ca="1">IF(ISNA(IF(V125="",#N/A,V125)),OFFSET(Tab.Insulation.Default!$A$1,$AL125-1,MATCH(AO$87&amp;"_"&amp;$K125,Tab.Insulation.Default!$1:$1,0)-1),#N/A)</f>
        <v>#N/A</v>
      </c>
      <c r="AP125" s="23">
        <f t="shared" si="30"/>
        <v>3.5000000000000003E-2</v>
      </c>
      <c r="AQ125" s="29" t="str">
        <f t="shared" si="4"/>
        <v>Gen.Refurbished.12</v>
      </c>
      <c r="AR125" s="17">
        <f>MATCH(AR$88&amp;"."&amp;AQ125,Tab.Measure.f.Default!$A:$A,0)</f>
        <v>23</v>
      </c>
      <c r="AS125" s="21">
        <f ca="1">OFFSET(Tab.Measure.f.Default!$A$1,AR125-1,MATCH(AS$87&amp;"_"&amp;$J125,Tab.Measure.f.Default!$1:$1,0)-1)</f>
        <v>0.75</v>
      </c>
      <c r="AT125" s="29" t="str">
        <f t="shared" si="5"/>
        <v>MUH.NA.03</v>
      </c>
      <c r="AU125" s="17">
        <f>MATCH(AU$88&amp;"."&amp;AT125,Tab.Measure.f.Default!$A:$A,0)</f>
        <v>38</v>
      </c>
      <c r="AV125" s="21">
        <f ca="1">OFFSET(Tab.Measure.f.Default!$A$1,AU125-1,MATCH(AV$87&amp;"_"&amp;$J125,Tab.Measure.f.Default!$1:$1,0)-1)</f>
        <v>0.37</v>
      </c>
      <c r="AW125" s="30">
        <f t="shared" si="33"/>
        <v>1</v>
      </c>
      <c r="AX125" s="9">
        <f t="shared" ca="1" si="6"/>
        <v>0.66666666666666663</v>
      </c>
      <c r="AY125" s="9">
        <f t="shared" si="7"/>
        <v>0</v>
      </c>
      <c r="AZ125" s="9">
        <f ca="1">AX125+AY125</f>
        <v>0.66666666666666663</v>
      </c>
      <c r="BA125" s="9">
        <f ca="1">1/AZ125</f>
        <v>1.5</v>
      </c>
      <c r="BB125" s="9">
        <f t="shared" ca="1" si="8"/>
        <v>1.5</v>
      </c>
      <c r="BC125" s="32" t="str">
        <f t="shared" si="9"/>
        <v>D</v>
      </c>
      <c r="BD125" s="20" t="str">
        <f ca="1">OFFSET(Tab.Uncertainty.Levels!$A$1,MATCH(BD$88,Tab.Uncertainty.Levels!$A:$A,0)-1,MATCH(BD$87&amp;"_"&amp;BC125,Tab.Uncertainty.Levels!$1:$1,0)-1)</f>
        <v>Use of default values; building constructed until 1983</v>
      </c>
      <c r="BE125" s="24">
        <f ca="1">OFFSET(Tab.Uncertainty.Levels!$A$1,MATCH(BE$88,Tab.Uncertainty.Levels!$A:$A,0)-1,MATCH(BE$87&amp;"_"&amp;BC125,Tab.Uncertainty.Levels!$1:$1,0)-1)</f>
        <v>0.3</v>
      </c>
      <c r="BF125" s="32" t="str">
        <f t="shared" si="10"/>
        <v>-</v>
      </c>
      <c r="BG125" s="20" t="e">
        <f ca="1">OFFSET(Tab.Uncertainty.Levels!$A$1,MATCH(BG$88,Tab.Uncertainty.Levels!$A:$A,0)-1,MATCH(BG$87&amp;"_"&amp;BF125,Tab.Uncertainty.Levels!$1:$1,0)-1)</f>
        <v>#N/A</v>
      </c>
      <c r="BH125" s="24" t="e">
        <f ca="1">OFFSET(Tab.Uncertainty.Levels!$A$1,MATCH(BH$88,Tab.Uncertainty.Levels!$A:$A,0)-1,MATCH(BH$87&amp;"_"&amp;BF125,Tab.Uncertainty.Levels!$1:$1,0)-1)</f>
        <v>#N/A</v>
      </c>
      <c r="BI125" s="32" t="str">
        <f t="shared" si="31"/>
        <v>D</v>
      </c>
      <c r="BJ125" s="13">
        <f ca="1">IF(BF125="-",BE125,BH125)</f>
        <v>0.3</v>
      </c>
      <c r="BK125" s="32" t="str">
        <f>IF(OR($L125="NoDataSource",IFERROR(IF($S125="",#N/A,$S125),0)=0),IF(IFERROR(IF(U125="",#N/A,U125),0)=0,"E","D"),IF($L125="DesignDataPlusQA","A",IF($L125="DesignData","B","C")))</f>
        <v>D</v>
      </c>
      <c r="BL125" s="20" t="str">
        <f ca="1">OFFSET(Tab.Uncertainty.Levels!$A$1,MATCH(BL$88,Tab.Uncertainty.Levels!$A:$A,0)-1,MATCH(BL$87&amp;"_"&amp;BK125,Tab.Uncertainty.Levels!$1:$1,0)-1)</f>
        <v>Insulation available; insulation thickness unknown</v>
      </c>
      <c r="BM125" s="24">
        <f ca="1">OFFSET(Tab.Uncertainty.Levels!$A$1,MATCH(BM$88,Tab.Uncertainty.Levels!$A:$A,0)-1,MATCH(BM$87&amp;"_"&amp;BK125,Tab.Uncertainty.Levels!$1:$1,0)-1)</f>
        <v>0.4</v>
      </c>
      <c r="BN125" s="34">
        <f ca="1">OFFSET(Tab.Uncertainty.Levels!$A$1,MATCH(BN$88,Tab.Uncertainty.Levels!$A:$A,0)-1,MATCH(BN$87&amp;"_"&amp;BK125,Tab.Uncertainty.Levels!$1:$1,0)-1)</f>
        <v>5</v>
      </c>
      <c r="BO125" s="13">
        <f ca="1">IFERROR(MIN(BM125,BN125/AN125),0)</f>
        <v>0</v>
      </c>
      <c r="BP125" s="32" t="str">
        <f>IF(OR($L125="NoDataSource",IFERROR(IF($V125="",#N/A,$V125),0)=0),IF(IFERROR(IF(U125="",#N/A,U125),0)=0,"E","D"),IF($L125="DesignDataPlusQA","A",IF($L125="DesignData","B","C")))</f>
        <v>C</v>
      </c>
      <c r="BQ125" s="20" t="str">
        <f ca="1">OFFSET(Tab.Uncertainty.Levels!$A$1,MATCH(BQ$88,Tab.Uncertainty.Levels!$A:$A,0)-1,MATCH(BQ$87&amp;"_"&amp;BP125,Tab.Uncertainty.Levels!$1:$1,0)-1)</f>
        <v>Thermal conductivity of Insulation determined by inspection onsite / record or statement of owner</v>
      </c>
      <c r="BR125" s="97">
        <f ca="1">OFFSET(Tab.Uncertainty.Levels!$A$1,MATCH(BR$88,Tab.Uncertainty.Levels!$A:$A,0)-1,MATCH(BR$87&amp;"_"&amp;BP125,Tab.Uncertainty.Levels!$1:$1,0)-1)</f>
        <v>0.15</v>
      </c>
      <c r="BS125" s="32" t="str">
        <f>IF(L125="NoDataSource","D",IF(IFERROR(IF($T125="",#N/A,$T125),0)=0,IF(OR(IFERROR(IF($S125="",#N/A,$S125),0)&gt;0,$R125="Refurbish"),"D","E"),IF($L125="DesignDataPlusQA","A",IF($L125="DesignData","B","C"))))</f>
        <v>C</v>
      </c>
      <c r="BT125" s="20" t="str">
        <f ca="1">OFFSET(Tab.Uncertainty.Levels!$A$1,MATCH(BT$88,Tab.Uncertainty.Levels!$A:$A,0)-1,MATCH(BT$87&amp;"_"&amp;BS125,Tab.Uncertainty.Levels!$1:$1,0)-1)</f>
        <v>Insulation fraction determined by inspection onsite / record or statement of owner</v>
      </c>
      <c r="BU125" s="33">
        <f ca="1">OFFSET(Tab.Uncertainty.Levels!$A$1,MATCH(BU$88,Tab.Uncertainty.Levels!$A:$A,0)-1,MATCH(BU$87&amp;"_"&amp;BS125,Tab.Uncertainty.Levels!$1:$1,0)-1)</f>
        <v>0.2</v>
      </c>
      <c r="BV125" s="13">
        <f ca="1">IFERROR(MIN(BU125/AW125,1,(1-AW125)/AW125),0)</f>
        <v>0</v>
      </c>
      <c r="BW125" s="96">
        <f ca="1">ABS(1+(AW125*(1/(1+AN125/100/AP125*AG125)^2-1)))*BJ125*$AG125</f>
        <v>0.44999999999999996</v>
      </c>
      <c r="BX125" s="96">
        <f ca="1">ABS(-AG125+1/(1/AG125+AN125/100/AP125))*BV125*AW125</f>
        <v>0</v>
      </c>
      <c r="BY125" s="96">
        <f ca="1">ABS(-AW125*AP125/((AP125/AG125+AN125/100)^2))*(BO125*AN125/100)</f>
        <v>0</v>
      </c>
      <c r="BZ125" s="202">
        <f ca="1">ABS(AW125*AN125/100/(1/AG125*AP125+AN125/100)^2)*(BR125*AP125)</f>
        <v>0</v>
      </c>
      <c r="CA125" s="103">
        <f t="shared" ca="1" si="32"/>
        <v>0.44999999999999996</v>
      </c>
      <c r="CB125" s="37">
        <f t="shared" ca="1" si="11"/>
        <v>0.3</v>
      </c>
      <c r="CC125" s="37">
        <f t="shared" ca="1" si="12"/>
        <v>0</v>
      </c>
      <c r="CD125" s="37">
        <f t="shared" ca="1" si="13"/>
        <v>0</v>
      </c>
      <c r="CE125" s="37">
        <f t="shared" ca="1" si="14"/>
        <v>0</v>
      </c>
      <c r="CF125" s="13">
        <f t="shared" ca="1" si="15"/>
        <v>0.3</v>
      </c>
      <c r="CG125" s="101">
        <f ca="1">AG125</f>
        <v>1.5</v>
      </c>
      <c r="CH125" s="101">
        <f>AW125</f>
        <v>1</v>
      </c>
      <c r="CI125" s="203">
        <f>IF(CH125&gt;0,AN125,0)</f>
        <v>0</v>
      </c>
      <c r="CJ125" s="102">
        <f>IF(AND(CH125&gt;0,CI125&gt;0),AP125,0)</f>
        <v>0</v>
      </c>
      <c r="CK125" s="102">
        <f ca="1">BB125</f>
        <v>1.5</v>
      </c>
      <c r="CL125" s="37">
        <f t="shared" ca="1" si="16"/>
        <v>0.3</v>
      </c>
      <c r="CM125" s="37">
        <f t="shared" ca="1" si="17"/>
        <v>0</v>
      </c>
      <c r="CN125" s="37">
        <f t="shared" ca="1" si="18"/>
        <v>0</v>
      </c>
      <c r="CO125" s="37">
        <f t="shared" ca="1" si="19"/>
        <v>0.15</v>
      </c>
      <c r="CP125" s="37">
        <f t="shared" ca="1" si="20"/>
        <v>0.3</v>
      </c>
      <c r="CQ125" s="95">
        <f t="shared" ca="1" si="21"/>
        <v>0.44999999999999996</v>
      </c>
      <c r="CR125" s="95">
        <f t="shared" ca="1" si="22"/>
        <v>0</v>
      </c>
      <c r="CS125" s="95">
        <f t="shared" ca="1" si="23"/>
        <v>0</v>
      </c>
      <c r="CT125" s="103">
        <f t="shared" ca="1" si="24"/>
        <v>0</v>
      </c>
      <c r="CU125" s="95">
        <f t="shared" ca="1" si="25"/>
        <v>0.44999999999999996</v>
      </c>
      <c r="CV125" s="37">
        <f ca="1">$CB125^2/$CF125^2</f>
        <v>1</v>
      </c>
      <c r="CW125" s="37">
        <f ca="1">$CD125^2/$CF125^2</f>
        <v>0</v>
      </c>
      <c r="CX125" s="37">
        <f ca="1">$CE125^2/$CF125^2</f>
        <v>0</v>
      </c>
      <c r="CY125" s="37">
        <f ca="1">$CC125^2/$CF125^2</f>
        <v>0</v>
      </c>
      <c r="DA125" s="98" t="s">
        <v>214</v>
      </c>
      <c r="DB125" s="36">
        <f ca="1">OFFSET($A$1,ROW(DB125)-1,MATCH(DA125,$1:$1,0)-1)</f>
        <v>0</v>
      </c>
      <c r="DC125" s="9">
        <f ca="1">BB125</f>
        <v>1.5</v>
      </c>
      <c r="DD125" s="9">
        <f ca="1">$DC125+$CA125</f>
        <v>1.95</v>
      </c>
      <c r="DE125" s="9">
        <f ca="1">$DC125-$CA125</f>
        <v>1.05</v>
      </c>
      <c r="DF125" s="10">
        <f t="shared" ref="DF125:DF134" ca="1" si="43">0.5*(DD125-DE125)/DC125</f>
        <v>0.3</v>
      </c>
    </row>
    <row r="126" spans="1:110" s="8" customFormat="1" ht="32.4" customHeight="1">
      <c r="A126" s="206" t="s">
        <v>562</v>
      </c>
      <c r="B126" s="208" t="s">
        <v>2342</v>
      </c>
      <c r="C126" s="206" t="str">
        <f t="shared" ref="C126:C136" si="44">E126&amp;" = "&amp;F126</f>
        <v>Parameter-Variation: d_Insulation = 2 cm</v>
      </c>
      <c r="D126" s="206"/>
      <c r="E126" s="206" t="s">
        <v>198</v>
      </c>
      <c r="F126" s="206" t="str">
        <f t="shared" ref="F126:F136" si="45">S126&amp;" cm"</f>
        <v>2 cm</v>
      </c>
      <c r="G126" s="206" t="s">
        <v>2170</v>
      </c>
      <c r="H126" s="206" t="s">
        <v>2171</v>
      </c>
      <c r="I126" s="156" t="s">
        <v>80</v>
      </c>
      <c r="J126" s="156" t="s">
        <v>134</v>
      </c>
      <c r="K126" s="156" t="s">
        <v>155</v>
      </c>
      <c r="L126" s="156" t="s">
        <v>66</v>
      </c>
      <c r="M126" s="156" t="s">
        <v>188</v>
      </c>
      <c r="N126" s="7">
        <v>1925</v>
      </c>
      <c r="O126" s="156">
        <v>1</v>
      </c>
      <c r="P126" s="156">
        <v>0</v>
      </c>
      <c r="Q126" s="156" t="s">
        <v>435</v>
      </c>
      <c r="R126" s="156" t="s">
        <v>58</v>
      </c>
      <c r="S126" s="19">
        <v>2</v>
      </c>
      <c r="T126" s="19">
        <v>1</v>
      </c>
      <c r="U126" s="19">
        <v>2016</v>
      </c>
      <c r="V126" s="19">
        <v>3.5000000000000003E-2</v>
      </c>
      <c r="W126" s="28" t="s">
        <v>59</v>
      </c>
      <c r="X126" s="19" t="e">
        <v>#N/A</v>
      </c>
      <c r="Y126" s="105">
        <f ca="1">IFERROR(OFFSET(Tab.Const.ConstrBorder!$A$1,MATCH(Q126,Tab.Const.ConstrBorder!$A:$A,0)-1,MATCH(Y$87,Tab.Const.ConstrBorder!$1:$1,0)-1),0)</f>
        <v>0</v>
      </c>
      <c r="Z126" s="18">
        <f t="shared" si="27"/>
        <v>1925</v>
      </c>
      <c r="AA126" s="17">
        <f>MATCH(Z126,Tab.Year.Period!$11:$11,1)-3</f>
        <v>3</v>
      </c>
      <c r="AB126" s="17">
        <f>MATCH(AB$88&amp;"."&amp;TEXT(AA126,"00"),Tab.U.Default!$A:$A,0)</f>
        <v>26</v>
      </c>
      <c r="AC126" s="105">
        <f ca="1">OFFSET(Tab.U.Default!$A$1,$AB126-1,MATCH("U_Class_"&amp;IF($J126="TopCeiling","UpperCeiling",$J126)&amp;"_"&amp;AC$87,Tab.U.Default!$1:$1,0)-1)</f>
        <v>1.5</v>
      </c>
      <c r="AD126" s="105">
        <f ca="1">OFFSET(Tab.U.Default!$A$1,$AB126-1,MATCH("U_Class_"&amp;IF($J126="TopCeiling","UpperCeiling",$J126)&amp;"_"&amp;AD$87,Tab.U.Default!$1:$1,0)-1)</f>
        <v>1.5</v>
      </c>
      <c r="AE126" s="105">
        <f ca="1">OFFSET(Tab.U.Default!$A$1,$AB126-1,MATCH("U_Class_"&amp;IF($J126="TopCeiling","UpperCeiling",$J126)&amp;"_"&amp;AE$87,Tab.U.Default!$1:$1,0)-1)</f>
        <v>1.5</v>
      </c>
      <c r="AF126" s="26">
        <f t="shared" ca="1" si="0"/>
        <v>1.5</v>
      </c>
      <c r="AG126" s="26">
        <f t="shared" ca="1" si="1"/>
        <v>1.5</v>
      </c>
      <c r="AH126" s="18" t="str">
        <f t="shared" si="2"/>
        <v>Refurbish</v>
      </c>
      <c r="AI126" s="18" t="str">
        <f t="shared" si="28"/>
        <v>Add</v>
      </c>
      <c r="AJ126" s="18">
        <f t="shared" si="3"/>
        <v>2016</v>
      </c>
      <c r="AK126" s="17">
        <f>MATCH(AJ126,Tab.Year.Period!$11:$11,1)-3</f>
        <v>12</v>
      </c>
      <c r="AL126" s="17">
        <f>MATCH(AL$88&amp;"."&amp;TEXT(AK126,"00"),Tab.Insulation.Default!$A:$A,0)</f>
        <v>23</v>
      </c>
      <c r="AM126" s="20" t="e">
        <f ca="1">IF(ISNA(IF(S126="",#N/A,S126)),OFFSET(Tab.Insulation.Default!$A$1,$AL126-1,MATCH(AM$87&amp;"_"&amp;$K126,Tab.Insulation.Default!$1:$1,0)-1),#N/A)</f>
        <v>#N/A</v>
      </c>
      <c r="AN126" s="27">
        <f t="shared" si="29"/>
        <v>2</v>
      </c>
      <c r="AO126" s="22" t="e">
        <f ca="1">IF(ISNA(IF(V126="",#N/A,V126)),OFFSET(Tab.Insulation.Default!$A$1,$AL126-1,MATCH(AO$87&amp;"_"&amp;$K126,Tab.Insulation.Default!$1:$1,0)-1),#N/A)</f>
        <v>#N/A</v>
      </c>
      <c r="AP126" s="23">
        <f t="shared" si="30"/>
        <v>3.5000000000000003E-2</v>
      </c>
      <c r="AQ126" s="29" t="str">
        <f t="shared" si="4"/>
        <v>Gen.Refurbished.12</v>
      </c>
      <c r="AR126" s="17">
        <f>MATCH(AR$88&amp;"."&amp;AQ126,Tab.Measure.f.Default!$A:$A,0)</f>
        <v>23</v>
      </c>
      <c r="AS126" s="21">
        <f ca="1">OFFSET(Tab.Measure.f.Default!$A$1,AR126-1,MATCH(AS$87&amp;"_"&amp;$J126,Tab.Measure.f.Default!$1:$1,0)-1)</f>
        <v>0.75</v>
      </c>
      <c r="AT126" s="29" t="str">
        <f t="shared" si="5"/>
        <v>MUH.NA.03</v>
      </c>
      <c r="AU126" s="17">
        <f>MATCH(AU$88&amp;"."&amp;AT126,Tab.Measure.f.Default!$A:$A,0)</f>
        <v>38</v>
      </c>
      <c r="AV126" s="21">
        <f ca="1">OFFSET(Tab.Measure.f.Default!$A$1,AU126-1,MATCH(AV$87&amp;"_"&amp;$J126,Tab.Measure.f.Default!$1:$1,0)-1)</f>
        <v>0.37</v>
      </c>
      <c r="AW126" s="30">
        <f t="shared" si="33"/>
        <v>1</v>
      </c>
      <c r="AX126" s="9">
        <f t="shared" ca="1" si="6"/>
        <v>0.66666666666666663</v>
      </c>
      <c r="AY126" s="9">
        <f t="shared" si="7"/>
        <v>0.5714285714285714</v>
      </c>
      <c r="AZ126" s="9">
        <f t="shared" ref="AZ126:AZ136" ca="1" si="46">AX126+AY126</f>
        <v>1.2380952380952381</v>
      </c>
      <c r="BA126" s="9">
        <f t="shared" ref="BA126:BA136" ca="1" si="47">1/AZ126</f>
        <v>0.80769230769230771</v>
      </c>
      <c r="BB126" s="9">
        <f t="shared" ca="1" si="8"/>
        <v>0.80769230769230771</v>
      </c>
      <c r="BC126" s="32" t="str">
        <f t="shared" si="9"/>
        <v>D</v>
      </c>
      <c r="BD126" s="20" t="str">
        <f ca="1">OFFSET(Tab.Uncertainty.Levels!$A$1,MATCH(BD$88,Tab.Uncertainty.Levels!$A:$A,0)-1,MATCH(BD$87&amp;"_"&amp;BC126,Tab.Uncertainty.Levels!$1:$1,0)-1)</f>
        <v>Use of default values; building constructed until 1983</v>
      </c>
      <c r="BE126" s="24">
        <f ca="1">OFFSET(Tab.Uncertainty.Levels!$A$1,MATCH(BE$88,Tab.Uncertainty.Levels!$A:$A,0)-1,MATCH(BE$87&amp;"_"&amp;BC126,Tab.Uncertainty.Levels!$1:$1,0)-1)</f>
        <v>0.3</v>
      </c>
      <c r="BF126" s="32" t="str">
        <f t="shared" si="10"/>
        <v>-</v>
      </c>
      <c r="BG126" s="20" t="e">
        <f ca="1">OFFSET(Tab.Uncertainty.Levels!$A$1,MATCH(BG$88,Tab.Uncertainty.Levels!$A:$A,0)-1,MATCH(BG$87&amp;"_"&amp;BF126,Tab.Uncertainty.Levels!$1:$1,0)-1)</f>
        <v>#N/A</v>
      </c>
      <c r="BH126" s="24" t="e">
        <f ca="1">OFFSET(Tab.Uncertainty.Levels!$A$1,MATCH(BH$88,Tab.Uncertainty.Levels!$A:$A,0)-1,MATCH(BH$87&amp;"_"&amp;BF126,Tab.Uncertainty.Levels!$1:$1,0)-1)</f>
        <v>#N/A</v>
      </c>
      <c r="BI126" s="32" t="str">
        <f t="shared" si="31"/>
        <v>D</v>
      </c>
      <c r="BJ126" s="13">
        <f ca="1">IF(BF126="-",BE126,BH126)</f>
        <v>0.3</v>
      </c>
      <c r="BK126" s="32" t="str">
        <f>IF(OR($L126="NoDataSource",IFERROR(IF($S126="",#N/A,$S126),0)=0),IF(IFERROR(IF(U126="",#N/A,U126),0)=0,"E","D"),IF($L126="DesignDataPlusQA","A",IF($L126="DesignData","B","C")))</f>
        <v>C</v>
      </c>
      <c r="BL126" s="20" t="str">
        <f ca="1">OFFSET(Tab.Uncertainty.Levels!$A$1,MATCH(BL$88,Tab.Uncertainty.Levels!$A:$A,0)-1,MATCH(BL$87&amp;"_"&amp;BK126,Tab.Uncertainty.Levels!$1:$1,0)-1)</f>
        <v>Insulation thickness determined by inspection onsite / record or statement of owner</v>
      </c>
      <c r="BM126" s="24">
        <f ca="1">OFFSET(Tab.Uncertainty.Levels!$A$1,MATCH(BM$88,Tab.Uncertainty.Levels!$A:$A,0)-1,MATCH(BM$87&amp;"_"&amp;BK126,Tab.Uncertainty.Levels!$1:$1,0)-1)</f>
        <v>0.25</v>
      </c>
      <c r="BN126" s="34">
        <f ca="1">OFFSET(Tab.Uncertainty.Levels!$A$1,MATCH(BN$88,Tab.Uncertainty.Levels!$A:$A,0)-1,MATCH(BN$87&amp;"_"&amp;BK126,Tab.Uncertainty.Levels!$1:$1,0)-1)</f>
        <v>2</v>
      </c>
      <c r="BO126" s="13">
        <f ca="1">IFERROR(MIN(BM126,BN126/AN126),0)</f>
        <v>0.25</v>
      </c>
      <c r="BP126" s="32" t="str">
        <f>IF(OR($L126="NoDataSource",IFERROR(IF($V126="",#N/A,$V126),0)=0),IF(IFERROR(IF(U126="",#N/A,U126),0)=0,"E","D"),IF($L126="DesignDataPlusQA","A",IF($L126="DesignData","B","C")))</f>
        <v>C</v>
      </c>
      <c r="BQ126" s="20" t="str">
        <f ca="1">OFFSET(Tab.Uncertainty.Levels!$A$1,MATCH(BQ$88,Tab.Uncertainty.Levels!$A:$A,0)-1,MATCH(BQ$87&amp;"_"&amp;BP126,Tab.Uncertainty.Levels!$1:$1,0)-1)</f>
        <v>Thermal conductivity of Insulation determined by inspection onsite / record or statement of owner</v>
      </c>
      <c r="BR126" s="97">
        <f ca="1">OFFSET(Tab.Uncertainty.Levels!$A$1,MATCH(BR$88,Tab.Uncertainty.Levels!$A:$A,0)-1,MATCH(BR$87&amp;"_"&amp;BP126,Tab.Uncertainty.Levels!$1:$1,0)-1)</f>
        <v>0.15</v>
      </c>
      <c r="BS126" s="32" t="str">
        <f>IF(L126="NoDataSource","D",IF(IFERROR(IF($T126="",#N/A,$T126),0)=0,IF(OR(IFERROR(IF($S126="",#N/A,$S126),0)&gt;0,$R126="Refurbish"),"D","E"),IF($L126="DesignDataPlusQA","A",IF($L126="DesignData","B","C"))))</f>
        <v>C</v>
      </c>
      <c r="BT126" s="20" t="str">
        <f ca="1">OFFSET(Tab.Uncertainty.Levels!$A$1,MATCH(BT$88,Tab.Uncertainty.Levels!$A:$A,0)-1,MATCH(BT$87&amp;"_"&amp;BS126,Tab.Uncertainty.Levels!$1:$1,0)-1)</f>
        <v>Insulation fraction determined by inspection onsite / record or statement of owner</v>
      </c>
      <c r="BU126" s="33">
        <f ca="1">OFFSET(Tab.Uncertainty.Levels!$A$1,MATCH(BU$88,Tab.Uncertainty.Levels!$A:$A,0)-1,MATCH(BU$87&amp;"_"&amp;BS126,Tab.Uncertainty.Levels!$1:$1,0)-1)</f>
        <v>0.2</v>
      </c>
      <c r="BV126" s="13">
        <f ca="1">IFERROR(MIN(BU126/AW126,1,(1-AW126)/AW126),0)</f>
        <v>0</v>
      </c>
      <c r="BW126" s="96">
        <f ca="1">ABS(1+(AW126*(1/(1+AN126/100/AP126*AG126)^2-1)))*BJ126*$AG126</f>
        <v>0.13047337278106505</v>
      </c>
      <c r="BX126" s="96">
        <f ca="1">ABS(-AG126+1/(1/AG126+AN126/100/AP126))*BV126*AW126</f>
        <v>0</v>
      </c>
      <c r="BY126" s="96">
        <f ca="1">ABS(-AW126*AP126/((AP126/AG126+AN126/100)^2))*(BO126*AN126/100)</f>
        <v>9.3195266272189339E-2</v>
      </c>
      <c r="BZ126" s="202">
        <f ca="1">ABS(AW126*AN126/100/(1/AG126*AP126+AN126/100)^2)*(BR126*AP126)</f>
        <v>5.5917159763313608E-2</v>
      </c>
      <c r="CA126" s="103">
        <f t="shared" ca="1" si="32"/>
        <v>0.16980985665268958</v>
      </c>
      <c r="CB126" s="37">
        <f t="shared" ca="1" si="11"/>
        <v>0.16153846153846149</v>
      </c>
      <c r="CC126" s="37">
        <f t="shared" ca="1" si="12"/>
        <v>0</v>
      </c>
      <c r="CD126" s="37">
        <f t="shared" ca="1" si="13"/>
        <v>0.11538461538461536</v>
      </c>
      <c r="CE126" s="37">
        <f t="shared" ca="1" si="14"/>
        <v>6.9230769230769221E-2</v>
      </c>
      <c r="CF126" s="13">
        <f t="shared" ca="1" si="15"/>
        <v>0.21024077490332993</v>
      </c>
      <c r="CG126" s="101">
        <f ca="1">AG126</f>
        <v>1.5</v>
      </c>
      <c r="CH126" s="101">
        <f>AW126</f>
        <v>1</v>
      </c>
      <c r="CI126" s="203">
        <f>IF(CH126&gt;0,AN126,0)</f>
        <v>2</v>
      </c>
      <c r="CJ126" s="102">
        <f>IF(AND(CH126&gt;0,CI126&gt;0),AP126,0)</f>
        <v>3.5000000000000003E-2</v>
      </c>
      <c r="CK126" s="102">
        <f ca="1">BB126</f>
        <v>0.80769230769230771</v>
      </c>
      <c r="CL126" s="37">
        <f t="shared" ca="1" si="16"/>
        <v>0.3</v>
      </c>
      <c r="CM126" s="37">
        <f t="shared" ca="1" si="17"/>
        <v>0</v>
      </c>
      <c r="CN126" s="37">
        <f t="shared" ca="1" si="18"/>
        <v>0.25</v>
      </c>
      <c r="CO126" s="37">
        <f t="shared" ca="1" si="19"/>
        <v>0.15</v>
      </c>
      <c r="CP126" s="37">
        <f t="shared" ca="1" si="20"/>
        <v>0.21024077490332993</v>
      </c>
      <c r="CQ126" s="95">
        <f t="shared" ca="1" si="21"/>
        <v>0.44999999999999996</v>
      </c>
      <c r="CR126" s="95">
        <f t="shared" ca="1" si="22"/>
        <v>0</v>
      </c>
      <c r="CS126" s="95">
        <f t="shared" ca="1" si="23"/>
        <v>0.5</v>
      </c>
      <c r="CT126" s="103">
        <f t="shared" ca="1" si="24"/>
        <v>5.2500000000000003E-3</v>
      </c>
      <c r="CU126" s="95">
        <f t="shared" ca="1" si="25"/>
        <v>0.16980985665268955</v>
      </c>
      <c r="CV126" s="37">
        <f ca="1">$CB126^2/$CF126^2</f>
        <v>0.59036144578313243</v>
      </c>
      <c r="CW126" s="37">
        <f ca="1">$CD126^2/$CF126^2</f>
        <v>0.30120481927710846</v>
      </c>
      <c r="CX126" s="37">
        <f ca="1">$CE126^2/$CF126^2</f>
        <v>0.10843373493975905</v>
      </c>
      <c r="CY126" s="37">
        <f ca="1">$CC126^2/$CF126^2</f>
        <v>0</v>
      </c>
      <c r="DA126" s="98" t="s">
        <v>214</v>
      </c>
      <c r="DB126" s="36">
        <f ca="1">OFFSET($A$1,ROW(DB126)-1,MATCH(DA126,$1:$1,0)-1)</f>
        <v>2</v>
      </c>
      <c r="DC126" s="9">
        <f ca="1">BB126</f>
        <v>0.80769230769230771</v>
      </c>
      <c r="DD126" s="9">
        <f ca="1">$DC126+$CA126</f>
        <v>0.97750216434499726</v>
      </c>
      <c r="DE126" s="9">
        <f ca="1">$DC126-$CA126</f>
        <v>0.63788245103961816</v>
      </c>
      <c r="DF126" s="10">
        <f t="shared" ca="1" si="43"/>
        <v>0.2102407749033299</v>
      </c>
    </row>
    <row r="127" spans="1:110" s="8" customFormat="1" ht="32.4" customHeight="1">
      <c r="A127" s="206" t="s">
        <v>563</v>
      </c>
      <c r="B127" s="208" t="s">
        <v>2342</v>
      </c>
      <c r="C127" s="206" t="str">
        <f t="shared" si="44"/>
        <v>Parameter-Variation: d_Insulation = 4 cm</v>
      </c>
      <c r="D127" s="206"/>
      <c r="E127" s="206" t="s">
        <v>198</v>
      </c>
      <c r="F127" s="206" t="str">
        <f t="shared" si="45"/>
        <v>4 cm</v>
      </c>
      <c r="G127" s="206" t="s">
        <v>2170</v>
      </c>
      <c r="H127" s="206" t="s">
        <v>2171</v>
      </c>
      <c r="I127" s="156" t="s">
        <v>80</v>
      </c>
      <c r="J127" s="156" t="s">
        <v>134</v>
      </c>
      <c r="K127" s="156" t="s">
        <v>155</v>
      </c>
      <c r="L127" s="156" t="s">
        <v>66</v>
      </c>
      <c r="M127" s="156" t="s">
        <v>188</v>
      </c>
      <c r="N127" s="7">
        <v>1925</v>
      </c>
      <c r="O127" s="156">
        <v>1</v>
      </c>
      <c r="P127" s="156">
        <v>0</v>
      </c>
      <c r="Q127" s="156" t="s">
        <v>435</v>
      </c>
      <c r="R127" s="156" t="s">
        <v>58</v>
      </c>
      <c r="S127" s="19">
        <v>4</v>
      </c>
      <c r="T127" s="19">
        <v>1</v>
      </c>
      <c r="U127" s="19">
        <v>2016</v>
      </c>
      <c r="V127" s="19">
        <v>3.5000000000000003E-2</v>
      </c>
      <c r="W127" s="28" t="s">
        <v>59</v>
      </c>
      <c r="X127" s="19" t="e">
        <v>#N/A</v>
      </c>
      <c r="Y127" s="105">
        <f ca="1">IFERROR(OFFSET(Tab.Const.ConstrBorder!$A$1,MATCH(Q127,Tab.Const.ConstrBorder!$A:$A,0)-1,MATCH(Y$87,Tab.Const.ConstrBorder!$1:$1,0)-1),0)</f>
        <v>0</v>
      </c>
      <c r="Z127" s="18">
        <f t="shared" si="27"/>
        <v>1925</v>
      </c>
      <c r="AA127" s="17">
        <f>MATCH(Z127,Tab.Year.Period!$11:$11,1)-3</f>
        <v>3</v>
      </c>
      <c r="AB127" s="17">
        <f>MATCH(AB$88&amp;"."&amp;TEXT(AA127,"00"),Tab.U.Default!$A:$A,0)</f>
        <v>26</v>
      </c>
      <c r="AC127" s="105">
        <f ca="1">OFFSET(Tab.U.Default!$A$1,$AB127-1,MATCH("U_Class_"&amp;IF($J127="TopCeiling","UpperCeiling",$J127)&amp;"_"&amp;AC$87,Tab.U.Default!$1:$1,0)-1)</f>
        <v>1.5</v>
      </c>
      <c r="AD127" s="105">
        <f ca="1">OFFSET(Tab.U.Default!$A$1,$AB127-1,MATCH("U_Class_"&amp;IF($J127="TopCeiling","UpperCeiling",$J127)&amp;"_"&amp;AD$87,Tab.U.Default!$1:$1,0)-1)</f>
        <v>1.5</v>
      </c>
      <c r="AE127" s="105">
        <f ca="1">OFFSET(Tab.U.Default!$A$1,$AB127-1,MATCH("U_Class_"&amp;IF($J127="TopCeiling","UpperCeiling",$J127)&amp;"_"&amp;AE$87,Tab.U.Default!$1:$1,0)-1)</f>
        <v>1.5</v>
      </c>
      <c r="AF127" s="26">
        <f t="shared" ca="1" si="0"/>
        <v>1.5</v>
      </c>
      <c r="AG127" s="26">
        <f t="shared" ca="1" si="1"/>
        <v>1.5</v>
      </c>
      <c r="AH127" s="18" t="str">
        <f t="shared" si="2"/>
        <v>Refurbish</v>
      </c>
      <c r="AI127" s="18" t="str">
        <f t="shared" si="28"/>
        <v>Add</v>
      </c>
      <c r="AJ127" s="18">
        <f t="shared" si="3"/>
        <v>2016</v>
      </c>
      <c r="AK127" s="17">
        <f>MATCH(AJ127,Tab.Year.Period!$11:$11,1)-3</f>
        <v>12</v>
      </c>
      <c r="AL127" s="17">
        <f>MATCH(AL$88&amp;"."&amp;TEXT(AK127,"00"),Tab.Insulation.Default!$A:$A,0)</f>
        <v>23</v>
      </c>
      <c r="AM127" s="20" t="e">
        <f ca="1">IF(ISNA(IF(S127="",#N/A,S127)),OFFSET(Tab.Insulation.Default!$A$1,$AL127-1,MATCH(AM$87&amp;"_"&amp;$K127,Tab.Insulation.Default!$1:$1,0)-1),#N/A)</f>
        <v>#N/A</v>
      </c>
      <c r="AN127" s="27">
        <f t="shared" si="29"/>
        <v>4</v>
      </c>
      <c r="AO127" s="22" t="e">
        <f ca="1">IF(ISNA(IF(V127="",#N/A,V127)),OFFSET(Tab.Insulation.Default!$A$1,$AL127-1,MATCH(AO$87&amp;"_"&amp;$K127,Tab.Insulation.Default!$1:$1,0)-1),#N/A)</f>
        <v>#N/A</v>
      </c>
      <c r="AP127" s="23">
        <f t="shared" si="30"/>
        <v>3.5000000000000003E-2</v>
      </c>
      <c r="AQ127" s="29" t="str">
        <f t="shared" si="4"/>
        <v>Gen.Refurbished.12</v>
      </c>
      <c r="AR127" s="17">
        <f>MATCH(AR$88&amp;"."&amp;AQ127,Tab.Measure.f.Default!$A:$A,0)</f>
        <v>23</v>
      </c>
      <c r="AS127" s="21">
        <f ca="1">OFFSET(Tab.Measure.f.Default!$A$1,AR127-1,MATCH(AS$87&amp;"_"&amp;$J127,Tab.Measure.f.Default!$1:$1,0)-1)</f>
        <v>0.75</v>
      </c>
      <c r="AT127" s="29" t="str">
        <f t="shared" si="5"/>
        <v>MUH.NA.03</v>
      </c>
      <c r="AU127" s="17">
        <f>MATCH(AU$88&amp;"."&amp;AT127,Tab.Measure.f.Default!$A:$A,0)</f>
        <v>38</v>
      </c>
      <c r="AV127" s="21">
        <f ca="1">OFFSET(Tab.Measure.f.Default!$A$1,AU127-1,MATCH(AV$87&amp;"_"&amp;$J127,Tab.Measure.f.Default!$1:$1,0)-1)</f>
        <v>0.37</v>
      </c>
      <c r="AW127" s="30">
        <f t="shared" si="33"/>
        <v>1</v>
      </c>
      <c r="AX127" s="9">
        <f t="shared" ca="1" si="6"/>
        <v>0.66666666666666663</v>
      </c>
      <c r="AY127" s="9">
        <f t="shared" si="7"/>
        <v>1.1428571428571428</v>
      </c>
      <c r="AZ127" s="9">
        <f t="shared" ca="1" si="46"/>
        <v>1.8095238095238093</v>
      </c>
      <c r="BA127" s="9">
        <f t="shared" ca="1" si="47"/>
        <v>0.55263157894736847</v>
      </c>
      <c r="BB127" s="9">
        <f t="shared" ca="1" si="8"/>
        <v>0.55263157894736847</v>
      </c>
      <c r="BC127" s="32" t="str">
        <f t="shared" si="9"/>
        <v>D</v>
      </c>
      <c r="BD127" s="20" t="str">
        <f ca="1">OFFSET(Tab.Uncertainty.Levels!$A$1,MATCH(BD$88,Tab.Uncertainty.Levels!$A:$A,0)-1,MATCH(BD$87&amp;"_"&amp;BC127,Tab.Uncertainty.Levels!$1:$1,0)-1)</f>
        <v>Use of default values; building constructed until 1983</v>
      </c>
      <c r="BE127" s="24">
        <f ca="1">OFFSET(Tab.Uncertainty.Levels!$A$1,MATCH(BE$88,Tab.Uncertainty.Levels!$A:$A,0)-1,MATCH(BE$87&amp;"_"&amp;BC127,Tab.Uncertainty.Levels!$1:$1,0)-1)</f>
        <v>0.3</v>
      </c>
      <c r="BF127" s="32" t="str">
        <f t="shared" si="10"/>
        <v>-</v>
      </c>
      <c r="BG127" s="20" t="e">
        <f ca="1">OFFSET(Tab.Uncertainty.Levels!$A$1,MATCH(BG$88,Tab.Uncertainty.Levels!$A:$A,0)-1,MATCH(BG$87&amp;"_"&amp;BF127,Tab.Uncertainty.Levels!$1:$1,0)-1)</f>
        <v>#N/A</v>
      </c>
      <c r="BH127" s="24" t="e">
        <f ca="1">OFFSET(Tab.Uncertainty.Levels!$A$1,MATCH(BH$88,Tab.Uncertainty.Levels!$A:$A,0)-1,MATCH(BH$87&amp;"_"&amp;BF127,Tab.Uncertainty.Levels!$1:$1,0)-1)</f>
        <v>#N/A</v>
      </c>
      <c r="BI127" s="32" t="str">
        <f t="shared" si="31"/>
        <v>D</v>
      </c>
      <c r="BJ127" s="13">
        <f ca="1">IF(BF127="-",BE127,BH127)</f>
        <v>0.3</v>
      </c>
      <c r="BK127" s="32" t="str">
        <f>IF(OR($L127="NoDataSource",IFERROR(IF($S127="",#N/A,$S127),0)=0),IF(IFERROR(IF(U127="",#N/A,U127),0)=0,"E","D"),IF($L127="DesignDataPlusQA","A",IF($L127="DesignData","B","C")))</f>
        <v>C</v>
      </c>
      <c r="BL127" s="20" t="str">
        <f ca="1">OFFSET(Tab.Uncertainty.Levels!$A$1,MATCH(BL$88,Tab.Uncertainty.Levels!$A:$A,0)-1,MATCH(BL$87&amp;"_"&amp;BK127,Tab.Uncertainty.Levels!$1:$1,0)-1)</f>
        <v>Insulation thickness determined by inspection onsite / record or statement of owner</v>
      </c>
      <c r="BM127" s="24">
        <f ca="1">OFFSET(Tab.Uncertainty.Levels!$A$1,MATCH(BM$88,Tab.Uncertainty.Levels!$A:$A,0)-1,MATCH(BM$87&amp;"_"&amp;BK127,Tab.Uncertainty.Levels!$1:$1,0)-1)</f>
        <v>0.25</v>
      </c>
      <c r="BN127" s="34">
        <f ca="1">OFFSET(Tab.Uncertainty.Levels!$A$1,MATCH(BN$88,Tab.Uncertainty.Levels!$A:$A,0)-1,MATCH(BN$87&amp;"_"&amp;BK127,Tab.Uncertainty.Levels!$1:$1,0)-1)</f>
        <v>2</v>
      </c>
      <c r="BO127" s="13">
        <f ca="1">IFERROR(MIN(BM127,BN127/AN127),0)</f>
        <v>0.25</v>
      </c>
      <c r="BP127" s="32" t="str">
        <f>IF(OR($L127="NoDataSource",IFERROR(IF($V127="",#N/A,$V127),0)=0),IF(IFERROR(IF(U127="",#N/A,U127),0)=0,"E","D"),IF($L127="DesignDataPlusQA","A",IF($L127="DesignData","B","C")))</f>
        <v>C</v>
      </c>
      <c r="BQ127" s="20" t="str">
        <f ca="1">OFFSET(Tab.Uncertainty.Levels!$A$1,MATCH(BQ$88,Tab.Uncertainty.Levels!$A:$A,0)-1,MATCH(BQ$87&amp;"_"&amp;BP127,Tab.Uncertainty.Levels!$1:$1,0)-1)</f>
        <v>Thermal conductivity of Insulation determined by inspection onsite / record or statement of owner</v>
      </c>
      <c r="BR127" s="97">
        <f ca="1">OFFSET(Tab.Uncertainty.Levels!$A$1,MATCH(BR$88,Tab.Uncertainty.Levels!$A:$A,0)-1,MATCH(BR$87&amp;"_"&amp;BP127,Tab.Uncertainty.Levels!$1:$1,0)-1)</f>
        <v>0.15</v>
      </c>
      <c r="BS127" s="32" t="str">
        <f>IF(L127="NoDataSource","D",IF(IFERROR(IF($T127="",#N/A,$T127),0)=0,IF(OR(IFERROR(IF($S127="",#N/A,$S127),0)&gt;0,$R127="Refurbish"),"D","E"),IF($L127="DesignDataPlusQA","A",IF($L127="DesignData","B","C"))))</f>
        <v>C</v>
      </c>
      <c r="BT127" s="20" t="str">
        <f ca="1">OFFSET(Tab.Uncertainty.Levels!$A$1,MATCH(BT$88,Tab.Uncertainty.Levels!$A:$A,0)-1,MATCH(BT$87&amp;"_"&amp;BS127,Tab.Uncertainty.Levels!$1:$1,0)-1)</f>
        <v>Insulation fraction determined by inspection onsite / record or statement of owner</v>
      </c>
      <c r="BU127" s="33">
        <f ca="1">OFFSET(Tab.Uncertainty.Levels!$A$1,MATCH(BU$88,Tab.Uncertainty.Levels!$A:$A,0)-1,MATCH(BU$87&amp;"_"&amp;BS127,Tab.Uncertainty.Levels!$1:$1,0)-1)</f>
        <v>0.2</v>
      </c>
      <c r="BV127" s="13">
        <f ca="1">IFERROR(MIN(BU127/AW127,1,(1-AW127)/AW127),0)</f>
        <v>0</v>
      </c>
      <c r="BW127" s="96">
        <f ca="1">ABS(1+(AW127*(1/(1+AN127/100/AP127*AG127)^2-1)))*BJ127*$AG127</f>
        <v>6.1080332409972321E-2</v>
      </c>
      <c r="BX127" s="96">
        <f ca="1">ABS(-AG127+1/(1/AG127+AN127/100/AP127))*BV127*AW127</f>
        <v>0</v>
      </c>
      <c r="BY127" s="96">
        <f ca="1">ABS(-AW127*AP127/((AP127/AG127+AN127/100)^2))*(BO127*AN127/100)</f>
        <v>8.7257617728531842E-2</v>
      </c>
      <c r="BZ127" s="202">
        <f ca="1">ABS(AW127*AN127/100/(1/AG127*AP127+AN127/100)^2)*(BR127*AP127)</f>
        <v>5.2354570637119104E-2</v>
      </c>
      <c r="CA127" s="103">
        <f t="shared" ca="1" si="32"/>
        <v>0.1186831914197137</v>
      </c>
      <c r="CB127" s="37">
        <f t="shared" ca="1" si="11"/>
        <v>0.11052631578947371</v>
      </c>
      <c r="CC127" s="37">
        <f t="shared" ca="1" si="12"/>
        <v>0</v>
      </c>
      <c r="CD127" s="37">
        <f t="shared" ca="1" si="13"/>
        <v>0.15789473684210523</v>
      </c>
      <c r="CE127" s="37">
        <f t="shared" ca="1" si="14"/>
        <v>9.4736842105263133E-2</v>
      </c>
      <c r="CF127" s="13">
        <f t="shared" ca="1" si="15"/>
        <v>0.2147600606642438</v>
      </c>
      <c r="CG127" s="101">
        <f ca="1">AG127</f>
        <v>1.5</v>
      </c>
      <c r="CH127" s="101">
        <f>AW127</f>
        <v>1</v>
      </c>
      <c r="CI127" s="203">
        <f>IF(CH127&gt;0,AN127,0)</f>
        <v>4</v>
      </c>
      <c r="CJ127" s="102">
        <f>IF(AND(CH127&gt;0,CI127&gt;0),AP127,0)</f>
        <v>3.5000000000000003E-2</v>
      </c>
      <c r="CK127" s="102">
        <f ca="1">BB127</f>
        <v>0.55263157894736847</v>
      </c>
      <c r="CL127" s="37">
        <f t="shared" ca="1" si="16"/>
        <v>0.3</v>
      </c>
      <c r="CM127" s="37">
        <f t="shared" ca="1" si="17"/>
        <v>0</v>
      </c>
      <c r="CN127" s="37">
        <f t="shared" ca="1" si="18"/>
        <v>0.25</v>
      </c>
      <c r="CO127" s="37">
        <f t="shared" ca="1" si="19"/>
        <v>0.15</v>
      </c>
      <c r="CP127" s="37">
        <f t="shared" ca="1" si="20"/>
        <v>0.2147600606642438</v>
      </c>
      <c r="CQ127" s="95">
        <f t="shared" ca="1" si="21"/>
        <v>0.44999999999999996</v>
      </c>
      <c r="CR127" s="95">
        <f t="shared" ca="1" si="22"/>
        <v>0</v>
      </c>
      <c r="CS127" s="95">
        <f t="shared" ca="1" si="23"/>
        <v>1</v>
      </c>
      <c r="CT127" s="103">
        <f t="shared" ca="1" si="24"/>
        <v>5.2500000000000003E-3</v>
      </c>
      <c r="CU127" s="95">
        <f t="shared" ca="1" si="25"/>
        <v>0.11868319141971369</v>
      </c>
      <c r="CV127" s="37">
        <f ca="1">$CB127^2/$CF127^2</f>
        <v>0.2648648648648651</v>
      </c>
      <c r="CW127" s="37">
        <f ca="1">$CD127^2/$CF127^2</f>
        <v>0.54054054054054046</v>
      </c>
      <c r="CX127" s="37">
        <f ca="1">$CE127^2/$CF127^2</f>
        <v>0.19459459459459458</v>
      </c>
      <c r="CY127" s="37">
        <f ca="1">$CC127^2/$CF127^2</f>
        <v>0</v>
      </c>
      <c r="DA127" s="98" t="s">
        <v>214</v>
      </c>
      <c r="DB127" s="36">
        <f ca="1">OFFSET($A$1,ROW(DB127)-1,MATCH(DA127,$1:$1,0)-1)</f>
        <v>4</v>
      </c>
      <c r="DC127" s="9">
        <f ca="1">BB127</f>
        <v>0.55263157894736847</v>
      </c>
      <c r="DD127" s="9">
        <f ca="1">$DC127+$CA127</f>
        <v>0.6713147703670822</v>
      </c>
      <c r="DE127" s="9">
        <f ca="1">$DC127-$CA127</f>
        <v>0.43394838752765474</v>
      </c>
      <c r="DF127" s="10">
        <f t="shared" ca="1" si="43"/>
        <v>0.21476006066424388</v>
      </c>
    </row>
    <row r="128" spans="1:110" s="8" customFormat="1" ht="32.4" customHeight="1">
      <c r="A128" s="206" t="s">
        <v>564</v>
      </c>
      <c r="B128" s="208" t="s">
        <v>2342</v>
      </c>
      <c r="C128" s="206" t="str">
        <f t="shared" si="44"/>
        <v>Parameter-Variation: d_Insulation = 6 cm</v>
      </c>
      <c r="D128" s="206"/>
      <c r="E128" s="206" t="s">
        <v>198</v>
      </c>
      <c r="F128" s="206" t="str">
        <f t="shared" si="45"/>
        <v>6 cm</v>
      </c>
      <c r="G128" s="206" t="s">
        <v>2170</v>
      </c>
      <c r="H128" s="206" t="s">
        <v>2171</v>
      </c>
      <c r="I128" s="156" t="s">
        <v>80</v>
      </c>
      <c r="J128" s="156" t="s">
        <v>134</v>
      </c>
      <c r="K128" s="156" t="s">
        <v>155</v>
      </c>
      <c r="L128" s="156" t="s">
        <v>66</v>
      </c>
      <c r="M128" s="156" t="s">
        <v>188</v>
      </c>
      <c r="N128" s="7">
        <v>1925</v>
      </c>
      <c r="O128" s="156">
        <v>1</v>
      </c>
      <c r="P128" s="156">
        <v>0</v>
      </c>
      <c r="Q128" s="156" t="s">
        <v>435</v>
      </c>
      <c r="R128" s="156" t="s">
        <v>58</v>
      </c>
      <c r="S128" s="19">
        <v>6</v>
      </c>
      <c r="T128" s="19">
        <v>1</v>
      </c>
      <c r="U128" s="19">
        <v>2016</v>
      </c>
      <c r="V128" s="19">
        <v>3.5000000000000003E-2</v>
      </c>
      <c r="W128" s="28" t="s">
        <v>59</v>
      </c>
      <c r="X128" s="19" t="e">
        <v>#N/A</v>
      </c>
      <c r="Y128" s="105">
        <f ca="1">IFERROR(OFFSET(Tab.Const.ConstrBorder!$A$1,MATCH(Q128,Tab.Const.ConstrBorder!$A:$A,0)-1,MATCH(Y$87,Tab.Const.ConstrBorder!$1:$1,0)-1),0)</f>
        <v>0</v>
      </c>
      <c r="Z128" s="18">
        <f t="shared" si="27"/>
        <v>1925</v>
      </c>
      <c r="AA128" s="17">
        <f>MATCH(Z128,Tab.Year.Period!$11:$11,1)-3</f>
        <v>3</v>
      </c>
      <c r="AB128" s="17">
        <f>MATCH(AB$88&amp;"."&amp;TEXT(AA128,"00"),Tab.U.Default!$A:$A,0)</f>
        <v>26</v>
      </c>
      <c r="AC128" s="105">
        <f ca="1">OFFSET(Tab.U.Default!$A$1,$AB128-1,MATCH("U_Class_"&amp;IF($J128="TopCeiling","UpperCeiling",$J128)&amp;"_"&amp;AC$87,Tab.U.Default!$1:$1,0)-1)</f>
        <v>1.5</v>
      </c>
      <c r="AD128" s="105">
        <f ca="1">OFFSET(Tab.U.Default!$A$1,$AB128-1,MATCH("U_Class_"&amp;IF($J128="TopCeiling","UpperCeiling",$J128)&amp;"_"&amp;AD$87,Tab.U.Default!$1:$1,0)-1)</f>
        <v>1.5</v>
      </c>
      <c r="AE128" s="105">
        <f ca="1">OFFSET(Tab.U.Default!$A$1,$AB128-1,MATCH("U_Class_"&amp;IF($J128="TopCeiling","UpperCeiling",$J128)&amp;"_"&amp;AE$87,Tab.U.Default!$1:$1,0)-1)</f>
        <v>1.5</v>
      </c>
      <c r="AF128" s="26">
        <f t="shared" ca="1" si="0"/>
        <v>1.5</v>
      </c>
      <c r="AG128" s="26">
        <f t="shared" ca="1" si="1"/>
        <v>1.5</v>
      </c>
      <c r="AH128" s="18" t="str">
        <f t="shared" si="2"/>
        <v>Refurbish</v>
      </c>
      <c r="AI128" s="18" t="str">
        <f t="shared" si="28"/>
        <v>Add</v>
      </c>
      <c r="AJ128" s="18">
        <f t="shared" si="3"/>
        <v>2016</v>
      </c>
      <c r="AK128" s="17">
        <f>MATCH(AJ128,Tab.Year.Period!$11:$11,1)-3</f>
        <v>12</v>
      </c>
      <c r="AL128" s="17">
        <f>MATCH(AL$88&amp;"."&amp;TEXT(AK128,"00"),Tab.Insulation.Default!$A:$A,0)</f>
        <v>23</v>
      </c>
      <c r="AM128" s="20" t="e">
        <f ca="1">IF(ISNA(IF(S128="",#N/A,S128)),OFFSET(Tab.Insulation.Default!$A$1,$AL128-1,MATCH(AM$87&amp;"_"&amp;$K128,Tab.Insulation.Default!$1:$1,0)-1),#N/A)</f>
        <v>#N/A</v>
      </c>
      <c r="AN128" s="27">
        <f t="shared" si="29"/>
        <v>6</v>
      </c>
      <c r="AO128" s="22" t="e">
        <f ca="1">IF(ISNA(IF(V128="",#N/A,V128)),OFFSET(Tab.Insulation.Default!$A$1,$AL128-1,MATCH(AO$87&amp;"_"&amp;$K128,Tab.Insulation.Default!$1:$1,0)-1),#N/A)</f>
        <v>#N/A</v>
      </c>
      <c r="AP128" s="23">
        <f t="shared" si="30"/>
        <v>3.5000000000000003E-2</v>
      </c>
      <c r="AQ128" s="29" t="str">
        <f t="shared" si="4"/>
        <v>Gen.Refurbished.12</v>
      </c>
      <c r="AR128" s="17">
        <f>MATCH(AR$88&amp;"."&amp;AQ128,Tab.Measure.f.Default!$A:$A,0)</f>
        <v>23</v>
      </c>
      <c r="AS128" s="21">
        <f ca="1">OFFSET(Tab.Measure.f.Default!$A$1,AR128-1,MATCH(AS$87&amp;"_"&amp;$J128,Tab.Measure.f.Default!$1:$1,0)-1)</f>
        <v>0.75</v>
      </c>
      <c r="AT128" s="29" t="str">
        <f t="shared" si="5"/>
        <v>MUH.NA.03</v>
      </c>
      <c r="AU128" s="17">
        <f>MATCH(AU$88&amp;"."&amp;AT128,Tab.Measure.f.Default!$A:$A,0)</f>
        <v>38</v>
      </c>
      <c r="AV128" s="21">
        <f ca="1">OFFSET(Tab.Measure.f.Default!$A$1,AU128-1,MATCH(AV$87&amp;"_"&amp;$J128,Tab.Measure.f.Default!$1:$1,0)-1)</f>
        <v>0.37</v>
      </c>
      <c r="AW128" s="30">
        <f t="shared" si="33"/>
        <v>1</v>
      </c>
      <c r="AX128" s="9">
        <f t="shared" ca="1" si="6"/>
        <v>0.66666666666666663</v>
      </c>
      <c r="AY128" s="9">
        <f t="shared" si="7"/>
        <v>1.714285714285714</v>
      </c>
      <c r="AZ128" s="9">
        <f t="shared" ca="1" si="46"/>
        <v>2.3809523809523805</v>
      </c>
      <c r="BA128" s="9">
        <f t="shared" ca="1" si="47"/>
        <v>0.4200000000000001</v>
      </c>
      <c r="BB128" s="9">
        <f t="shared" ca="1" si="8"/>
        <v>0.4200000000000001</v>
      </c>
      <c r="BC128" s="32" t="str">
        <f t="shared" si="9"/>
        <v>D</v>
      </c>
      <c r="BD128" s="20" t="str">
        <f ca="1">OFFSET(Tab.Uncertainty.Levels!$A$1,MATCH(BD$88,Tab.Uncertainty.Levels!$A:$A,0)-1,MATCH(BD$87&amp;"_"&amp;BC128,Tab.Uncertainty.Levels!$1:$1,0)-1)</f>
        <v>Use of default values; building constructed until 1983</v>
      </c>
      <c r="BE128" s="24">
        <f ca="1">OFFSET(Tab.Uncertainty.Levels!$A$1,MATCH(BE$88,Tab.Uncertainty.Levels!$A:$A,0)-1,MATCH(BE$87&amp;"_"&amp;BC128,Tab.Uncertainty.Levels!$1:$1,0)-1)</f>
        <v>0.3</v>
      </c>
      <c r="BF128" s="32" t="str">
        <f t="shared" si="10"/>
        <v>-</v>
      </c>
      <c r="BG128" s="20" t="e">
        <f ca="1">OFFSET(Tab.Uncertainty.Levels!$A$1,MATCH(BG$88,Tab.Uncertainty.Levels!$A:$A,0)-1,MATCH(BG$87&amp;"_"&amp;BF128,Tab.Uncertainty.Levels!$1:$1,0)-1)</f>
        <v>#N/A</v>
      </c>
      <c r="BH128" s="24" t="e">
        <f ca="1">OFFSET(Tab.Uncertainty.Levels!$A$1,MATCH(BH$88,Tab.Uncertainty.Levels!$A:$A,0)-1,MATCH(BH$87&amp;"_"&amp;BF128,Tab.Uncertainty.Levels!$1:$1,0)-1)</f>
        <v>#N/A</v>
      </c>
      <c r="BI128" s="32" t="str">
        <f t="shared" si="31"/>
        <v>D</v>
      </c>
      <c r="BJ128" s="13">
        <f ca="1">IF(BF128="-",BE128,BH128)</f>
        <v>0.3</v>
      </c>
      <c r="BK128" s="32" t="str">
        <f>IF(OR($L128="NoDataSource",IFERROR(IF($S128="",#N/A,$S128),0)=0),IF(IFERROR(IF(U128="",#N/A,U128),0)=0,"E","D"),IF($L128="DesignDataPlusQA","A",IF($L128="DesignData","B","C")))</f>
        <v>C</v>
      </c>
      <c r="BL128" s="20" t="str">
        <f ca="1">OFFSET(Tab.Uncertainty.Levels!$A$1,MATCH(BL$88,Tab.Uncertainty.Levels!$A:$A,0)-1,MATCH(BL$87&amp;"_"&amp;BK128,Tab.Uncertainty.Levels!$1:$1,0)-1)</f>
        <v>Insulation thickness determined by inspection onsite / record or statement of owner</v>
      </c>
      <c r="BM128" s="24">
        <f ca="1">OFFSET(Tab.Uncertainty.Levels!$A$1,MATCH(BM$88,Tab.Uncertainty.Levels!$A:$A,0)-1,MATCH(BM$87&amp;"_"&amp;BK128,Tab.Uncertainty.Levels!$1:$1,0)-1)</f>
        <v>0.25</v>
      </c>
      <c r="BN128" s="34">
        <f ca="1">OFFSET(Tab.Uncertainty.Levels!$A$1,MATCH(BN$88,Tab.Uncertainty.Levels!$A:$A,0)-1,MATCH(BN$87&amp;"_"&amp;BK128,Tab.Uncertainty.Levels!$1:$1,0)-1)</f>
        <v>2</v>
      </c>
      <c r="BO128" s="13">
        <f ca="1">IFERROR(MIN(BM128,BN128/AN128),0)</f>
        <v>0.25</v>
      </c>
      <c r="BP128" s="32" t="str">
        <f>IF(OR($L128="NoDataSource",IFERROR(IF($V128="",#N/A,$V128),0)=0),IF(IFERROR(IF(U128="",#N/A,U128),0)=0,"E","D"),IF($L128="DesignDataPlusQA","A",IF($L128="DesignData","B","C")))</f>
        <v>C</v>
      </c>
      <c r="BQ128" s="20" t="str">
        <f ca="1">OFFSET(Tab.Uncertainty.Levels!$A$1,MATCH(BQ$88,Tab.Uncertainty.Levels!$A:$A,0)-1,MATCH(BQ$87&amp;"_"&amp;BP128,Tab.Uncertainty.Levels!$1:$1,0)-1)</f>
        <v>Thermal conductivity of Insulation determined by inspection onsite / record or statement of owner</v>
      </c>
      <c r="BR128" s="97">
        <f ca="1">OFFSET(Tab.Uncertainty.Levels!$A$1,MATCH(BR$88,Tab.Uncertainty.Levels!$A:$A,0)-1,MATCH(BR$87&amp;"_"&amp;BP128,Tab.Uncertainty.Levels!$1:$1,0)-1)</f>
        <v>0.15</v>
      </c>
      <c r="BS128" s="32" t="str">
        <f>IF(L128="NoDataSource","D",IF(IFERROR(IF($T128="",#N/A,$T128),0)=0,IF(OR(IFERROR(IF($S128="",#N/A,$S128),0)&gt;0,$R128="Refurbish"),"D","E"),IF($L128="DesignDataPlusQA","A",IF($L128="DesignData","B","C"))))</f>
        <v>C</v>
      </c>
      <c r="BT128" s="20" t="str">
        <f ca="1">OFFSET(Tab.Uncertainty.Levels!$A$1,MATCH(BT$88,Tab.Uncertainty.Levels!$A:$A,0)-1,MATCH(BT$87&amp;"_"&amp;BS128,Tab.Uncertainty.Levels!$1:$1,0)-1)</f>
        <v>Insulation fraction determined by inspection onsite / record or statement of owner</v>
      </c>
      <c r="BU128" s="33">
        <f ca="1">OFFSET(Tab.Uncertainty.Levels!$A$1,MATCH(BU$88,Tab.Uncertainty.Levels!$A:$A,0)-1,MATCH(BU$87&amp;"_"&amp;BS128,Tab.Uncertainty.Levels!$1:$1,0)-1)</f>
        <v>0.2</v>
      </c>
      <c r="BV128" s="13">
        <f ca="1">IFERROR(MIN(BU128/AW128,1,(1-AW128)/AW128),0)</f>
        <v>0</v>
      </c>
      <c r="BW128" s="96">
        <f ca="1">ABS(1+(AW128*(1/(1+AN128/100/AP128*AG128)^2-1)))*BJ128*$AG128</f>
        <v>3.5280000000000006E-2</v>
      </c>
      <c r="BX128" s="96">
        <f ca="1">ABS(-AG128+1/(1/AG128+AN128/100/AP128))*BV128*AW128</f>
        <v>0</v>
      </c>
      <c r="BY128" s="96">
        <f ca="1">ABS(-AW128*AP128/((AP128/AG128+AN128/100)^2))*(BO128*AN128/100)</f>
        <v>7.5600000000000014E-2</v>
      </c>
      <c r="BZ128" s="202">
        <f ca="1">ABS(AW128*AN128/100/(1/AG128*AP128+AN128/100)^2)*(BR128*AP128)</f>
        <v>4.5360000000000004E-2</v>
      </c>
      <c r="CA128" s="103">
        <f t="shared" ca="1" si="32"/>
        <v>9.496087615434054E-2</v>
      </c>
      <c r="CB128" s="37">
        <f t="shared" ca="1" si="11"/>
        <v>8.3999999999999991E-2</v>
      </c>
      <c r="CC128" s="37">
        <f t="shared" ca="1" si="12"/>
        <v>0</v>
      </c>
      <c r="CD128" s="37">
        <f t="shared" ca="1" si="13"/>
        <v>0.18</v>
      </c>
      <c r="CE128" s="37">
        <f t="shared" ca="1" si="14"/>
        <v>0.10799999999999998</v>
      </c>
      <c r="CF128" s="13">
        <f t="shared" ca="1" si="15"/>
        <v>0.22609732417700126</v>
      </c>
      <c r="CG128" s="101">
        <f ca="1">AG128</f>
        <v>1.5</v>
      </c>
      <c r="CH128" s="101">
        <f>AW128</f>
        <v>1</v>
      </c>
      <c r="CI128" s="203">
        <f>IF(CH128&gt;0,AN128,0)</f>
        <v>6</v>
      </c>
      <c r="CJ128" s="102">
        <f>IF(AND(CH128&gt;0,CI128&gt;0),AP128,0)</f>
        <v>3.5000000000000003E-2</v>
      </c>
      <c r="CK128" s="102">
        <f ca="1">BB128</f>
        <v>0.4200000000000001</v>
      </c>
      <c r="CL128" s="37">
        <f t="shared" ca="1" si="16"/>
        <v>0.3</v>
      </c>
      <c r="CM128" s="37">
        <f t="shared" ca="1" si="17"/>
        <v>0</v>
      </c>
      <c r="CN128" s="37">
        <f t="shared" ca="1" si="18"/>
        <v>0.25</v>
      </c>
      <c r="CO128" s="37">
        <f t="shared" ca="1" si="19"/>
        <v>0.15</v>
      </c>
      <c r="CP128" s="37">
        <f t="shared" ca="1" si="20"/>
        <v>0.22609732417700126</v>
      </c>
      <c r="CQ128" s="95">
        <f t="shared" ca="1" si="21"/>
        <v>0.44999999999999996</v>
      </c>
      <c r="CR128" s="95">
        <f t="shared" ca="1" si="22"/>
        <v>0</v>
      </c>
      <c r="CS128" s="95">
        <f t="shared" ca="1" si="23"/>
        <v>1.5</v>
      </c>
      <c r="CT128" s="103">
        <f t="shared" ca="1" si="24"/>
        <v>5.2500000000000003E-3</v>
      </c>
      <c r="CU128" s="95">
        <f t="shared" ca="1" si="25"/>
        <v>9.4960876154340554E-2</v>
      </c>
      <c r="CV128" s="37">
        <f ca="1">$CB128^2/$CF128^2</f>
        <v>0.13802816901408449</v>
      </c>
      <c r="CW128" s="37">
        <f ca="1">$CD128^2/$CF128^2</f>
        <v>0.63380281690140838</v>
      </c>
      <c r="CX128" s="37">
        <f ca="1">$CE128^2/$CF128^2</f>
        <v>0.22816901408450699</v>
      </c>
      <c r="CY128" s="37">
        <f ca="1">$CC128^2/$CF128^2</f>
        <v>0</v>
      </c>
      <c r="DA128" s="98" t="s">
        <v>214</v>
      </c>
      <c r="DB128" s="36">
        <f ca="1">OFFSET($A$1,ROW(DB128)-1,MATCH(DA128,$1:$1,0)-1)</f>
        <v>6</v>
      </c>
      <c r="DC128" s="9">
        <f ca="1">BB128</f>
        <v>0.4200000000000001</v>
      </c>
      <c r="DD128" s="9">
        <f ca="1">$DC128+$CA128</f>
        <v>0.51496087615434061</v>
      </c>
      <c r="DE128" s="9">
        <f ca="1">$DC128-$CA128</f>
        <v>0.32503912384565958</v>
      </c>
      <c r="DF128" s="10">
        <f t="shared" ca="1" si="43"/>
        <v>0.22609732417700118</v>
      </c>
    </row>
    <row r="129" spans="1:110" s="8" customFormat="1" ht="32.4" customHeight="1">
      <c r="A129" s="206" t="s">
        <v>565</v>
      </c>
      <c r="B129" s="208" t="s">
        <v>2342</v>
      </c>
      <c r="C129" s="206" t="str">
        <f t="shared" si="44"/>
        <v>Parameter-Variation: d_Insulation = 8 cm</v>
      </c>
      <c r="D129" s="206"/>
      <c r="E129" s="206" t="s">
        <v>198</v>
      </c>
      <c r="F129" s="206" t="str">
        <f t="shared" si="45"/>
        <v>8 cm</v>
      </c>
      <c r="G129" s="206" t="s">
        <v>2170</v>
      </c>
      <c r="H129" s="206" t="s">
        <v>2171</v>
      </c>
      <c r="I129" s="156" t="s">
        <v>80</v>
      </c>
      <c r="J129" s="156" t="s">
        <v>134</v>
      </c>
      <c r="K129" s="156" t="s">
        <v>155</v>
      </c>
      <c r="L129" s="156" t="s">
        <v>66</v>
      </c>
      <c r="M129" s="156" t="s">
        <v>188</v>
      </c>
      <c r="N129" s="7">
        <v>1925</v>
      </c>
      <c r="O129" s="156">
        <v>1</v>
      </c>
      <c r="P129" s="156">
        <v>0</v>
      </c>
      <c r="Q129" s="156" t="s">
        <v>435</v>
      </c>
      <c r="R129" s="156" t="s">
        <v>58</v>
      </c>
      <c r="S129" s="19">
        <v>8</v>
      </c>
      <c r="T129" s="19">
        <v>1</v>
      </c>
      <c r="U129" s="19">
        <v>2016</v>
      </c>
      <c r="V129" s="19">
        <v>3.5000000000000003E-2</v>
      </c>
      <c r="W129" s="28" t="s">
        <v>59</v>
      </c>
      <c r="X129" s="19" t="e">
        <v>#N/A</v>
      </c>
      <c r="Y129" s="105">
        <f ca="1">IFERROR(OFFSET(Tab.Const.ConstrBorder!$A$1,MATCH(Q129,Tab.Const.ConstrBorder!$A:$A,0)-1,MATCH(Y$87,Tab.Const.ConstrBorder!$1:$1,0)-1),0)</f>
        <v>0</v>
      </c>
      <c r="Z129" s="18">
        <f t="shared" si="27"/>
        <v>1925</v>
      </c>
      <c r="AA129" s="17">
        <f>MATCH(Z129,Tab.Year.Period!$11:$11,1)-3</f>
        <v>3</v>
      </c>
      <c r="AB129" s="17">
        <f>MATCH(AB$88&amp;"."&amp;TEXT(AA129,"00"),Tab.U.Default!$A:$A,0)</f>
        <v>26</v>
      </c>
      <c r="AC129" s="105">
        <f ca="1">OFFSET(Tab.U.Default!$A$1,$AB129-1,MATCH("U_Class_"&amp;IF($J129="TopCeiling","UpperCeiling",$J129)&amp;"_"&amp;AC$87,Tab.U.Default!$1:$1,0)-1)</f>
        <v>1.5</v>
      </c>
      <c r="AD129" s="105">
        <f ca="1">OFFSET(Tab.U.Default!$A$1,$AB129-1,MATCH("U_Class_"&amp;IF($J129="TopCeiling","UpperCeiling",$J129)&amp;"_"&amp;AD$87,Tab.U.Default!$1:$1,0)-1)</f>
        <v>1.5</v>
      </c>
      <c r="AE129" s="105">
        <f ca="1">OFFSET(Tab.U.Default!$A$1,$AB129-1,MATCH("U_Class_"&amp;IF($J129="TopCeiling","UpperCeiling",$J129)&amp;"_"&amp;AE$87,Tab.U.Default!$1:$1,0)-1)</f>
        <v>1.5</v>
      </c>
      <c r="AF129" s="26">
        <f t="shared" ca="1" si="0"/>
        <v>1.5</v>
      </c>
      <c r="AG129" s="26">
        <f t="shared" ca="1" si="1"/>
        <v>1.5</v>
      </c>
      <c r="AH129" s="18" t="str">
        <f t="shared" si="2"/>
        <v>Refurbish</v>
      </c>
      <c r="AI129" s="18" t="str">
        <f t="shared" si="28"/>
        <v>Add</v>
      </c>
      <c r="AJ129" s="18">
        <f t="shared" si="3"/>
        <v>2016</v>
      </c>
      <c r="AK129" s="17">
        <f>MATCH(AJ129,Tab.Year.Period!$11:$11,1)-3</f>
        <v>12</v>
      </c>
      <c r="AL129" s="17">
        <f>MATCH(AL$88&amp;"."&amp;TEXT(AK129,"00"),Tab.Insulation.Default!$A:$A,0)</f>
        <v>23</v>
      </c>
      <c r="AM129" s="20" t="e">
        <f ca="1">IF(ISNA(IF(S129="",#N/A,S129)),OFFSET(Tab.Insulation.Default!$A$1,$AL129-1,MATCH(AM$87&amp;"_"&amp;$K129,Tab.Insulation.Default!$1:$1,0)-1),#N/A)</f>
        <v>#N/A</v>
      </c>
      <c r="AN129" s="27">
        <f t="shared" si="29"/>
        <v>8</v>
      </c>
      <c r="AO129" s="22" t="e">
        <f ca="1">IF(ISNA(IF(V129="",#N/A,V129)),OFFSET(Tab.Insulation.Default!$A$1,$AL129-1,MATCH(AO$87&amp;"_"&amp;$K129,Tab.Insulation.Default!$1:$1,0)-1),#N/A)</f>
        <v>#N/A</v>
      </c>
      <c r="AP129" s="23">
        <f t="shared" si="30"/>
        <v>3.5000000000000003E-2</v>
      </c>
      <c r="AQ129" s="29" t="str">
        <f t="shared" si="4"/>
        <v>Gen.Refurbished.12</v>
      </c>
      <c r="AR129" s="17">
        <f>MATCH(AR$88&amp;"."&amp;AQ129,Tab.Measure.f.Default!$A:$A,0)</f>
        <v>23</v>
      </c>
      <c r="AS129" s="21">
        <f ca="1">OFFSET(Tab.Measure.f.Default!$A$1,AR129-1,MATCH(AS$87&amp;"_"&amp;$J129,Tab.Measure.f.Default!$1:$1,0)-1)</f>
        <v>0.75</v>
      </c>
      <c r="AT129" s="29" t="str">
        <f t="shared" si="5"/>
        <v>MUH.NA.03</v>
      </c>
      <c r="AU129" s="17">
        <f>MATCH(AU$88&amp;"."&amp;AT129,Tab.Measure.f.Default!$A:$A,0)</f>
        <v>38</v>
      </c>
      <c r="AV129" s="21">
        <f ca="1">OFFSET(Tab.Measure.f.Default!$A$1,AU129-1,MATCH(AV$87&amp;"_"&amp;$J129,Tab.Measure.f.Default!$1:$1,0)-1)</f>
        <v>0.37</v>
      </c>
      <c r="AW129" s="30">
        <f t="shared" si="33"/>
        <v>1</v>
      </c>
      <c r="AX129" s="9">
        <f t="shared" ca="1" si="6"/>
        <v>0.66666666666666663</v>
      </c>
      <c r="AY129" s="9">
        <f t="shared" si="7"/>
        <v>2.2857142857142856</v>
      </c>
      <c r="AZ129" s="9">
        <f t="shared" ca="1" si="46"/>
        <v>2.9523809523809521</v>
      </c>
      <c r="BA129" s="9">
        <f t="shared" ca="1" si="47"/>
        <v>0.33870967741935487</v>
      </c>
      <c r="BB129" s="9">
        <f t="shared" ca="1" si="8"/>
        <v>0.33870967741935487</v>
      </c>
      <c r="BC129" s="32" t="str">
        <f t="shared" si="9"/>
        <v>D</v>
      </c>
      <c r="BD129" s="20" t="str">
        <f ca="1">OFFSET(Tab.Uncertainty.Levels!$A$1,MATCH(BD$88,Tab.Uncertainty.Levels!$A:$A,0)-1,MATCH(BD$87&amp;"_"&amp;BC129,Tab.Uncertainty.Levels!$1:$1,0)-1)</f>
        <v>Use of default values; building constructed until 1983</v>
      </c>
      <c r="BE129" s="24">
        <f ca="1">OFFSET(Tab.Uncertainty.Levels!$A$1,MATCH(BE$88,Tab.Uncertainty.Levels!$A:$A,0)-1,MATCH(BE$87&amp;"_"&amp;BC129,Tab.Uncertainty.Levels!$1:$1,0)-1)</f>
        <v>0.3</v>
      </c>
      <c r="BF129" s="32" t="str">
        <f t="shared" si="10"/>
        <v>-</v>
      </c>
      <c r="BG129" s="20" t="e">
        <f ca="1">OFFSET(Tab.Uncertainty.Levels!$A$1,MATCH(BG$88,Tab.Uncertainty.Levels!$A:$A,0)-1,MATCH(BG$87&amp;"_"&amp;BF129,Tab.Uncertainty.Levels!$1:$1,0)-1)</f>
        <v>#N/A</v>
      </c>
      <c r="BH129" s="24" t="e">
        <f ca="1">OFFSET(Tab.Uncertainty.Levels!$A$1,MATCH(BH$88,Tab.Uncertainty.Levels!$A:$A,0)-1,MATCH(BH$87&amp;"_"&amp;BF129,Tab.Uncertainty.Levels!$1:$1,0)-1)</f>
        <v>#N/A</v>
      </c>
      <c r="BI129" s="32" t="str">
        <f t="shared" si="31"/>
        <v>D</v>
      </c>
      <c r="BJ129" s="13">
        <f ca="1">IF(BF129="-",BE129,BH129)</f>
        <v>0.3</v>
      </c>
      <c r="BK129" s="32" t="str">
        <f>IF(OR($L129="NoDataSource",IFERROR(IF($S129="",#N/A,$S129),0)=0),IF(IFERROR(IF(U129="",#N/A,U129),0)=0,"E","D"),IF($L129="DesignDataPlusQA","A",IF($L129="DesignData","B","C")))</f>
        <v>C</v>
      </c>
      <c r="BL129" s="20" t="str">
        <f ca="1">OFFSET(Tab.Uncertainty.Levels!$A$1,MATCH(BL$88,Tab.Uncertainty.Levels!$A:$A,0)-1,MATCH(BL$87&amp;"_"&amp;BK129,Tab.Uncertainty.Levels!$1:$1,0)-1)</f>
        <v>Insulation thickness determined by inspection onsite / record or statement of owner</v>
      </c>
      <c r="BM129" s="24">
        <f ca="1">OFFSET(Tab.Uncertainty.Levels!$A$1,MATCH(BM$88,Tab.Uncertainty.Levels!$A:$A,0)-1,MATCH(BM$87&amp;"_"&amp;BK129,Tab.Uncertainty.Levels!$1:$1,0)-1)</f>
        <v>0.25</v>
      </c>
      <c r="BN129" s="34">
        <f ca="1">OFFSET(Tab.Uncertainty.Levels!$A$1,MATCH(BN$88,Tab.Uncertainty.Levels!$A:$A,0)-1,MATCH(BN$87&amp;"_"&amp;BK129,Tab.Uncertainty.Levels!$1:$1,0)-1)</f>
        <v>2</v>
      </c>
      <c r="BO129" s="13">
        <f ca="1">IFERROR(MIN(BM129,BN129/AN129),0)</f>
        <v>0.25</v>
      </c>
      <c r="BP129" s="32" t="str">
        <f>IF(OR($L129="NoDataSource",IFERROR(IF($V129="",#N/A,$V129),0)=0),IF(IFERROR(IF(U129="",#N/A,U129),0)=0,"E","D"),IF($L129="DesignDataPlusQA","A",IF($L129="DesignData","B","C")))</f>
        <v>C</v>
      </c>
      <c r="BQ129" s="20" t="str">
        <f ca="1">OFFSET(Tab.Uncertainty.Levels!$A$1,MATCH(BQ$88,Tab.Uncertainty.Levels!$A:$A,0)-1,MATCH(BQ$87&amp;"_"&amp;BP129,Tab.Uncertainty.Levels!$1:$1,0)-1)</f>
        <v>Thermal conductivity of Insulation determined by inspection onsite / record or statement of owner</v>
      </c>
      <c r="BR129" s="97">
        <f ca="1">OFFSET(Tab.Uncertainty.Levels!$A$1,MATCH(BR$88,Tab.Uncertainty.Levels!$A:$A,0)-1,MATCH(BR$87&amp;"_"&amp;BP129,Tab.Uncertainty.Levels!$1:$1,0)-1)</f>
        <v>0.15</v>
      </c>
      <c r="BS129" s="32" t="str">
        <f>IF(L129="NoDataSource","D",IF(IFERROR(IF($T129="",#N/A,$T129),0)=0,IF(OR(IFERROR(IF($S129="",#N/A,$S129),0)&gt;0,$R129="Refurbish"),"D","E"),IF($L129="DesignDataPlusQA","A",IF($L129="DesignData","B","C"))))</f>
        <v>C</v>
      </c>
      <c r="BT129" s="20" t="str">
        <f ca="1">OFFSET(Tab.Uncertainty.Levels!$A$1,MATCH(BT$88,Tab.Uncertainty.Levels!$A:$A,0)-1,MATCH(BT$87&amp;"_"&amp;BS129,Tab.Uncertainty.Levels!$1:$1,0)-1)</f>
        <v>Insulation fraction determined by inspection onsite / record or statement of owner</v>
      </c>
      <c r="BU129" s="33">
        <f ca="1">OFFSET(Tab.Uncertainty.Levels!$A$1,MATCH(BU$88,Tab.Uncertainty.Levels!$A:$A,0)-1,MATCH(BU$87&amp;"_"&amp;BS129,Tab.Uncertainty.Levels!$1:$1,0)-1)</f>
        <v>0.2</v>
      </c>
      <c r="BV129" s="13">
        <f ca="1">IFERROR(MIN(BU129/AW129,1,(1-AW129)/AW129),0)</f>
        <v>0</v>
      </c>
      <c r="BW129" s="96">
        <f ca="1">ABS(1+(AW129*(1/(1+AN129/100/AP129*AG129)^2-1)))*BJ129*$AG129</f>
        <v>2.2944849115504689E-2</v>
      </c>
      <c r="BX129" s="96">
        <f ca="1">ABS(-AG129+1/(1/AG129+AN129/100/AP129))*BV129*AW129</f>
        <v>0</v>
      </c>
      <c r="BY129" s="96">
        <f ca="1">ABS(-AW129*AP129/((AP129/AG129+AN129/100)^2))*(BO129*AN129/100)</f>
        <v>6.5556711758584824E-2</v>
      </c>
      <c r="BZ129" s="202">
        <f ca="1">ABS(AW129*AN129/100/(1/AG129*AP129+AN129/100)^2)*(BR129*AP129)</f>
        <v>3.9334027055150891E-2</v>
      </c>
      <c r="CA129" s="103">
        <f t="shared" ca="1" si="32"/>
        <v>7.9820512663768287E-2</v>
      </c>
      <c r="CB129" s="37">
        <f t="shared" ca="1" si="11"/>
        <v>6.7741935483870974E-2</v>
      </c>
      <c r="CC129" s="37">
        <f t="shared" ca="1" si="12"/>
        <v>0</v>
      </c>
      <c r="CD129" s="37">
        <f t="shared" ca="1" si="13"/>
        <v>0.19354838709677422</v>
      </c>
      <c r="CE129" s="37">
        <f t="shared" ca="1" si="14"/>
        <v>0.11612903225806452</v>
      </c>
      <c r="CF129" s="13">
        <f t="shared" ca="1" si="15"/>
        <v>0.23566056119779202</v>
      </c>
      <c r="CG129" s="101">
        <f ca="1">AG129</f>
        <v>1.5</v>
      </c>
      <c r="CH129" s="101">
        <f>AW129</f>
        <v>1</v>
      </c>
      <c r="CI129" s="203">
        <f>IF(CH129&gt;0,AN129,0)</f>
        <v>8</v>
      </c>
      <c r="CJ129" s="102">
        <f>IF(AND(CH129&gt;0,CI129&gt;0),AP129,0)</f>
        <v>3.5000000000000003E-2</v>
      </c>
      <c r="CK129" s="102">
        <f ca="1">BB129</f>
        <v>0.33870967741935487</v>
      </c>
      <c r="CL129" s="37">
        <f t="shared" ca="1" si="16"/>
        <v>0.3</v>
      </c>
      <c r="CM129" s="37">
        <f t="shared" ca="1" si="17"/>
        <v>0</v>
      </c>
      <c r="CN129" s="37">
        <f t="shared" ca="1" si="18"/>
        <v>0.25</v>
      </c>
      <c r="CO129" s="37">
        <f t="shared" ca="1" si="19"/>
        <v>0.15</v>
      </c>
      <c r="CP129" s="37">
        <f t="shared" ca="1" si="20"/>
        <v>0.23566056119779202</v>
      </c>
      <c r="CQ129" s="95">
        <f t="shared" ca="1" si="21"/>
        <v>0.44999999999999996</v>
      </c>
      <c r="CR129" s="95">
        <f t="shared" ca="1" si="22"/>
        <v>0</v>
      </c>
      <c r="CS129" s="95">
        <f t="shared" ca="1" si="23"/>
        <v>2</v>
      </c>
      <c r="CT129" s="103">
        <f t="shared" ca="1" si="24"/>
        <v>5.2500000000000003E-3</v>
      </c>
      <c r="CU129" s="95">
        <f t="shared" ca="1" si="25"/>
        <v>7.9820512663768273E-2</v>
      </c>
      <c r="CV129" s="37">
        <f ca="1">$CB129^2/$CF129^2</f>
        <v>8.2630691399662726E-2</v>
      </c>
      <c r="CW129" s="37">
        <f ca="1">$CD129^2/$CF129^2</f>
        <v>0.67453625632377734</v>
      </c>
      <c r="CX129" s="37">
        <f ca="1">$CE129^2/$CF129^2</f>
        <v>0.24283305227655982</v>
      </c>
      <c r="CY129" s="37">
        <f ca="1">$CC129^2/$CF129^2</f>
        <v>0</v>
      </c>
      <c r="DA129" s="98" t="s">
        <v>214</v>
      </c>
      <c r="DB129" s="36">
        <f ca="1">OFFSET($A$1,ROW(DB129)-1,MATCH(DA129,$1:$1,0)-1)</f>
        <v>8</v>
      </c>
      <c r="DC129" s="9">
        <f ca="1">BB129</f>
        <v>0.33870967741935487</v>
      </c>
      <c r="DD129" s="9">
        <f ca="1">$DC129+$CA129</f>
        <v>0.41853019008312314</v>
      </c>
      <c r="DE129" s="9">
        <f ca="1">$DC129-$CA129</f>
        <v>0.2588891647555866</v>
      </c>
      <c r="DF129" s="10">
        <f t="shared" ca="1" si="43"/>
        <v>0.23566056119779202</v>
      </c>
    </row>
    <row r="130" spans="1:110" s="8" customFormat="1" ht="32.4" customHeight="1">
      <c r="A130" s="206" t="s">
        <v>566</v>
      </c>
      <c r="B130" s="208" t="s">
        <v>2342</v>
      </c>
      <c r="C130" s="206" t="str">
        <f t="shared" si="44"/>
        <v>Parameter-Variation: d_Insulation = 10 cm</v>
      </c>
      <c r="D130" s="206"/>
      <c r="E130" s="206" t="s">
        <v>198</v>
      </c>
      <c r="F130" s="206" t="str">
        <f t="shared" si="45"/>
        <v>10 cm</v>
      </c>
      <c r="G130" s="206" t="s">
        <v>2170</v>
      </c>
      <c r="H130" s="206" t="s">
        <v>2171</v>
      </c>
      <c r="I130" s="156" t="s">
        <v>80</v>
      </c>
      <c r="J130" s="156" t="s">
        <v>134</v>
      </c>
      <c r="K130" s="156" t="s">
        <v>155</v>
      </c>
      <c r="L130" s="156" t="s">
        <v>66</v>
      </c>
      <c r="M130" s="156" t="s">
        <v>188</v>
      </c>
      <c r="N130" s="7">
        <v>1925</v>
      </c>
      <c r="O130" s="156">
        <v>1</v>
      </c>
      <c r="P130" s="156">
        <v>0</v>
      </c>
      <c r="Q130" s="156" t="s">
        <v>435</v>
      </c>
      <c r="R130" s="156" t="s">
        <v>58</v>
      </c>
      <c r="S130" s="19">
        <v>10</v>
      </c>
      <c r="T130" s="19">
        <v>1</v>
      </c>
      <c r="U130" s="19">
        <v>2016</v>
      </c>
      <c r="V130" s="19">
        <v>3.5000000000000003E-2</v>
      </c>
      <c r="W130" s="28" t="s">
        <v>59</v>
      </c>
      <c r="X130" s="19" t="e">
        <v>#N/A</v>
      </c>
      <c r="Y130" s="105">
        <f ca="1">IFERROR(OFFSET(Tab.Const.ConstrBorder!$A$1,MATCH(Q130,Tab.Const.ConstrBorder!$A:$A,0)-1,MATCH(Y$87,Tab.Const.ConstrBorder!$1:$1,0)-1),0)</f>
        <v>0</v>
      </c>
      <c r="Z130" s="18">
        <f t="shared" si="27"/>
        <v>1925</v>
      </c>
      <c r="AA130" s="17">
        <f>MATCH(Z130,Tab.Year.Period!$11:$11,1)-3</f>
        <v>3</v>
      </c>
      <c r="AB130" s="17">
        <f>MATCH(AB$88&amp;"."&amp;TEXT(AA130,"00"),Tab.U.Default!$A:$A,0)</f>
        <v>26</v>
      </c>
      <c r="AC130" s="105">
        <f ca="1">OFFSET(Tab.U.Default!$A$1,$AB130-1,MATCH("U_Class_"&amp;IF($J130="TopCeiling","UpperCeiling",$J130)&amp;"_"&amp;AC$87,Tab.U.Default!$1:$1,0)-1)</f>
        <v>1.5</v>
      </c>
      <c r="AD130" s="105">
        <f ca="1">OFFSET(Tab.U.Default!$A$1,$AB130-1,MATCH("U_Class_"&amp;IF($J130="TopCeiling","UpperCeiling",$J130)&amp;"_"&amp;AD$87,Tab.U.Default!$1:$1,0)-1)</f>
        <v>1.5</v>
      </c>
      <c r="AE130" s="105">
        <f ca="1">OFFSET(Tab.U.Default!$A$1,$AB130-1,MATCH("U_Class_"&amp;IF($J130="TopCeiling","UpperCeiling",$J130)&amp;"_"&amp;AE$87,Tab.U.Default!$1:$1,0)-1)</f>
        <v>1.5</v>
      </c>
      <c r="AF130" s="26">
        <f t="shared" ca="1" si="0"/>
        <v>1.5</v>
      </c>
      <c r="AG130" s="26">
        <f t="shared" ca="1" si="1"/>
        <v>1.5</v>
      </c>
      <c r="AH130" s="18" t="str">
        <f t="shared" si="2"/>
        <v>Refurbish</v>
      </c>
      <c r="AI130" s="18" t="str">
        <f t="shared" si="28"/>
        <v>Add</v>
      </c>
      <c r="AJ130" s="18">
        <f t="shared" si="3"/>
        <v>2016</v>
      </c>
      <c r="AK130" s="17">
        <f>MATCH(AJ130,Tab.Year.Period!$11:$11,1)-3</f>
        <v>12</v>
      </c>
      <c r="AL130" s="17">
        <f>MATCH(AL$88&amp;"."&amp;TEXT(AK130,"00"),Tab.Insulation.Default!$A:$A,0)</f>
        <v>23</v>
      </c>
      <c r="AM130" s="20" t="e">
        <f ca="1">IF(ISNA(IF(S130="",#N/A,S130)),OFFSET(Tab.Insulation.Default!$A$1,$AL130-1,MATCH(AM$87&amp;"_"&amp;$K130,Tab.Insulation.Default!$1:$1,0)-1),#N/A)</f>
        <v>#N/A</v>
      </c>
      <c r="AN130" s="27">
        <f t="shared" si="29"/>
        <v>10</v>
      </c>
      <c r="AO130" s="22" t="e">
        <f ca="1">IF(ISNA(IF(V130="",#N/A,V130)),OFFSET(Tab.Insulation.Default!$A$1,$AL130-1,MATCH(AO$87&amp;"_"&amp;$K130,Tab.Insulation.Default!$1:$1,0)-1),#N/A)</f>
        <v>#N/A</v>
      </c>
      <c r="AP130" s="23">
        <f t="shared" si="30"/>
        <v>3.5000000000000003E-2</v>
      </c>
      <c r="AQ130" s="29" t="str">
        <f t="shared" si="4"/>
        <v>Gen.Refurbished.12</v>
      </c>
      <c r="AR130" s="17">
        <f>MATCH(AR$88&amp;"."&amp;AQ130,Tab.Measure.f.Default!$A:$A,0)</f>
        <v>23</v>
      </c>
      <c r="AS130" s="21">
        <f ca="1">OFFSET(Tab.Measure.f.Default!$A$1,AR130-1,MATCH(AS$87&amp;"_"&amp;$J130,Tab.Measure.f.Default!$1:$1,0)-1)</f>
        <v>0.75</v>
      </c>
      <c r="AT130" s="29" t="str">
        <f t="shared" si="5"/>
        <v>MUH.NA.03</v>
      </c>
      <c r="AU130" s="17">
        <f>MATCH(AU$88&amp;"."&amp;AT130,Tab.Measure.f.Default!$A:$A,0)</f>
        <v>38</v>
      </c>
      <c r="AV130" s="21">
        <f ca="1">OFFSET(Tab.Measure.f.Default!$A$1,AU130-1,MATCH(AV$87&amp;"_"&amp;$J130,Tab.Measure.f.Default!$1:$1,0)-1)</f>
        <v>0.37</v>
      </c>
      <c r="AW130" s="30">
        <f t="shared" si="33"/>
        <v>1</v>
      </c>
      <c r="AX130" s="9">
        <f t="shared" ca="1" si="6"/>
        <v>0.66666666666666663</v>
      </c>
      <c r="AY130" s="9">
        <f t="shared" si="7"/>
        <v>2.8571428571428572</v>
      </c>
      <c r="AZ130" s="9">
        <f t="shared" ca="1" si="46"/>
        <v>3.5238095238095237</v>
      </c>
      <c r="BA130" s="9">
        <f t="shared" ca="1" si="47"/>
        <v>0.28378378378378377</v>
      </c>
      <c r="BB130" s="9">
        <f t="shared" ca="1" si="8"/>
        <v>0.28378378378378377</v>
      </c>
      <c r="BC130" s="32" t="str">
        <f t="shared" si="9"/>
        <v>D</v>
      </c>
      <c r="BD130" s="20" t="str">
        <f ca="1">OFFSET(Tab.Uncertainty.Levels!$A$1,MATCH(BD$88,Tab.Uncertainty.Levels!$A:$A,0)-1,MATCH(BD$87&amp;"_"&amp;BC130,Tab.Uncertainty.Levels!$1:$1,0)-1)</f>
        <v>Use of default values; building constructed until 1983</v>
      </c>
      <c r="BE130" s="24">
        <f ca="1">OFFSET(Tab.Uncertainty.Levels!$A$1,MATCH(BE$88,Tab.Uncertainty.Levels!$A:$A,0)-1,MATCH(BE$87&amp;"_"&amp;BC130,Tab.Uncertainty.Levels!$1:$1,0)-1)</f>
        <v>0.3</v>
      </c>
      <c r="BF130" s="32" t="str">
        <f t="shared" si="10"/>
        <v>-</v>
      </c>
      <c r="BG130" s="20" t="e">
        <f ca="1">OFFSET(Tab.Uncertainty.Levels!$A$1,MATCH(BG$88,Tab.Uncertainty.Levels!$A:$A,0)-1,MATCH(BG$87&amp;"_"&amp;BF130,Tab.Uncertainty.Levels!$1:$1,0)-1)</f>
        <v>#N/A</v>
      </c>
      <c r="BH130" s="24" t="e">
        <f ca="1">OFFSET(Tab.Uncertainty.Levels!$A$1,MATCH(BH$88,Tab.Uncertainty.Levels!$A:$A,0)-1,MATCH(BH$87&amp;"_"&amp;BF130,Tab.Uncertainty.Levels!$1:$1,0)-1)</f>
        <v>#N/A</v>
      </c>
      <c r="BI130" s="32" t="str">
        <f t="shared" si="31"/>
        <v>D</v>
      </c>
      <c r="BJ130" s="13">
        <f ca="1">IF(BF130="-",BE130,BH130)</f>
        <v>0.3</v>
      </c>
      <c r="BK130" s="32" t="str">
        <f>IF(OR($L130="NoDataSource",IFERROR(IF($S130="",#N/A,$S130),0)=0),IF(IFERROR(IF(U130="",#N/A,U130),0)=0,"E","D"),IF($L130="DesignDataPlusQA","A",IF($L130="DesignData","B","C")))</f>
        <v>C</v>
      </c>
      <c r="BL130" s="20" t="str">
        <f ca="1">OFFSET(Tab.Uncertainty.Levels!$A$1,MATCH(BL$88,Tab.Uncertainty.Levels!$A:$A,0)-1,MATCH(BL$87&amp;"_"&amp;BK130,Tab.Uncertainty.Levels!$1:$1,0)-1)</f>
        <v>Insulation thickness determined by inspection onsite / record or statement of owner</v>
      </c>
      <c r="BM130" s="24">
        <f ca="1">OFFSET(Tab.Uncertainty.Levels!$A$1,MATCH(BM$88,Tab.Uncertainty.Levels!$A:$A,0)-1,MATCH(BM$87&amp;"_"&amp;BK130,Tab.Uncertainty.Levels!$1:$1,0)-1)</f>
        <v>0.25</v>
      </c>
      <c r="BN130" s="34">
        <f ca="1">OFFSET(Tab.Uncertainty.Levels!$A$1,MATCH(BN$88,Tab.Uncertainty.Levels!$A:$A,0)-1,MATCH(BN$87&amp;"_"&amp;BK130,Tab.Uncertainty.Levels!$1:$1,0)-1)</f>
        <v>2</v>
      </c>
      <c r="BO130" s="13">
        <f ca="1">IFERROR(MIN(BM130,BN130/AN130),0)</f>
        <v>0.2</v>
      </c>
      <c r="BP130" s="32" t="str">
        <f>IF(OR($L130="NoDataSource",IFERROR(IF($V130="",#N/A,$V130),0)=0),IF(IFERROR(IF(U130="",#N/A,U130),0)=0,"E","D"),IF($L130="DesignDataPlusQA","A",IF($L130="DesignData","B","C")))</f>
        <v>C</v>
      </c>
      <c r="BQ130" s="20" t="str">
        <f ca="1">OFFSET(Tab.Uncertainty.Levels!$A$1,MATCH(BQ$88,Tab.Uncertainty.Levels!$A:$A,0)-1,MATCH(BQ$87&amp;"_"&amp;BP130,Tab.Uncertainty.Levels!$1:$1,0)-1)</f>
        <v>Thermal conductivity of Insulation determined by inspection onsite / record or statement of owner</v>
      </c>
      <c r="BR130" s="97">
        <f ca="1">OFFSET(Tab.Uncertainty.Levels!$A$1,MATCH(BR$88,Tab.Uncertainty.Levels!$A:$A,0)-1,MATCH(BR$87&amp;"_"&amp;BP130,Tab.Uncertainty.Levels!$1:$1,0)-1)</f>
        <v>0.15</v>
      </c>
      <c r="BS130" s="32" t="str">
        <f>IF(L130="NoDataSource","D",IF(IFERROR(IF($T130="",#N/A,$T130),0)=0,IF(OR(IFERROR(IF($S130="",#N/A,$S130),0)&gt;0,$R130="Refurbish"),"D","E"),IF($L130="DesignDataPlusQA","A",IF($L130="DesignData","B","C"))))</f>
        <v>C</v>
      </c>
      <c r="BT130" s="20" t="str">
        <f ca="1">OFFSET(Tab.Uncertainty.Levels!$A$1,MATCH(BT$88,Tab.Uncertainty.Levels!$A:$A,0)-1,MATCH(BT$87&amp;"_"&amp;BS130,Tab.Uncertainty.Levels!$1:$1,0)-1)</f>
        <v>Insulation fraction determined by inspection onsite / record or statement of owner</v>
      </c>
      <c r="BU130" s="33">
        <f ca="1">OFFSET(Tab.Uncertainty.Levels!$A$1,MATCH(BU$88,Tab.Uncertainty.Levels!$A:$A,0)-1,MATCH(BU$87&amp;"_"&amp;BS130,Tab.Uncertainty.Levels!$1:$1,0)-1)</f>
        <v>0.2</v>
      </c>
      <c r="BV130" s="13">
        <f ca="1">IFERROR(MIN(BU130/AW130,1,(1-AW130)/AW130),0)</f>
        <v>0</v>
      </c>
      <c r="BW130" s="96">
        <f ca="1">ABS(1+(AW130*(1/(1+AN130/100/AP130*AG130)^2-1)))*BJ130*$AG130</f>
        <v>1.6106647187728258E-2</v>
      </c>
      <c r="BX130" s="96">
        <f ca="1">ABS(-AG130+1/(1/AG130+AN130/100/AP130))*BV130*AW130</f>
        <v>0</v>
      </c>
      <c r="BY130" s="96">
        <f ca="1">ABS(-AW130*AP130/((AP130/AG130+AN130/100)^2))*(BO130*AN130/100)</f>
        <v>4.6018991964937916E-2</v>
      </c>
      <c r="BZ130" s="202">
        <f ca="1">ABS(AW130*AN130/100/(1/AG130*AP130+AN130/100)^2)*(BR130*AP130)</f>
        <v>3.4514243973703437E-2</v>
      </c>
      <c r="CA130" s="103">
        <f t="shared" ca="1" si="32"/>
        <v>5.9736125938792677E-2</v>
      </c>
      <c r="CB130" s="37">
        <f t="shared" ca="1" si="11"/>
        <v>5.6756756756756725E-2</v>
      </c>
      <c r="CC130" s="37">
        <f t="shared" ca="1" si="12"/>
        <v>0</v>
      </c>
      <c r="CD130" s="37">
        <f t="shared" ca="1" si="13"/>
        <v>0.1621621621621622</v>
      </c>
      <c r="CE130" s="37">
        <f t="shared" ca="1" si="14"/>
        <v>0.12162162162162164</v>
      </c>
      <c r="CF130" s="13">
        <f t="shared" ca="1" si="15"/>
        <v>0.21049872949860279</v>
      </c>
      <c r="CG130" s="101">
        <f ca="1">AG130</f>
        <v>1.5</v>
      </c>
      <c r="CH130" s="101">
        <f>AW130</f>
        <v>1</v>
      </c>
      <c r="CI130" s="203">
        <f>IF(CH130&gt;0,AN130,0)</f>
        <v>10</v>
      </c>
      <c r="CJ130" s="102">
        <f>IF(AND(CH130&gt;0,CI130&gt;0),AP130,0)</f>
        <v>3.5000000000000003E-2</v>
      </c>
      <c r="CK130" s="102">
        <f ca="1">BB130</f>
        <v>0.28378378378378377</v>
      </c>
      <c r="CL130" s="37">
        <f t="shared" ca="1" si="16"/>
        <v>0.3</v>
      </c>
      <c r="CM130" s="37">
        <f t="shared" ca="1" si="17"/>
        <v>0</v>
      </c>
      <c r="CN130" s="37">
        <f t="shared" ca="1" si="18"/>
        <v>0.2</v>
      </c>
      <c r="CO130" s="37">
        <f t="shared" ca="1" si="19"/>
        <v>0.15</v>
      </c>
      <c r="CP130" s="37">
        <f t="shared" ca="1" si="20"/>
        <v>0.21049872949860279</v>
      </c>
      <c r="CQ130" s="95">
        <f t="shared" ca="1" si="21"/>
        <v>0.44999999999999996</v>
      </c>
      <c r="CR130" s="95">
        <f t="shared" ca="1" si="22"/>
        <v>0</v>
      </c>
      <c r="CS130" s="95">
        <f t="shared" ca="1" si="23"/>
        <v>2</v>
      </c>
      <c r="CT130" s="103">
        <f t="shared" ca="1" si="24"/>
        <v>5.2500000000000003E-3</v>
      </c>
      <c r="CU130" s="95">
        <f t="shared" ca="1" si="25"/>
        <v>5.9736125938792684E-2</v>
      </c>
      <c r="CV130" s="37">
        <f ca="1">$CB130^2/$CF130^2</f>
        <v>7.2700296735904932E-2</v>
      </c>
      <c r="CW130" s="37">
        <f ca="1">$CD130^2/$CF130^2</f>
        <v>0.59347181008902083</v>
      </c>
      <c r="CX130" s="37">
        <f ca="1">$CE130^2/$CF130^2</f>
        <v>0.33382789317507416</v>
      </c>
      <c r="CY130" s="37">
        <f ca="1">$CC130^2/$CF130^2</f>
        <v>0</v>
      </c>
      <c r="DA130" s="98" t="s">
        <v>214</v>
      </c>
      <c r="DB130" s="36">
        <f ca="1">OFFSET($A$1,ROW(DB130)-1,MATCH(DA130,$1:$1,0)-1)</f>
        <v>10</v>
      </c>
      <c r="DC130" s="9">
        <f ca="1">BB130</f>
        <v>0.28378378378378377</v>
      </c>
      <c r="DD130" s="9">
        <f ca="1">$DC130+$CA130</f>
        <v>0.34351990972257646</v>
      </c>
      <c r="DE130" s="9">
        <f ca="1">$DC130-$CA130</f>
        <v>0.22404765784499109</v>
      </c>
      <c r="DF130" s="10">
        <f t="shared" ca="1" si="43"/>
        <v>0.21049872949860279</v>
      </c>
    </row>
    <row r="131" spans="1:110" s="8" customFormat="1" ht="32.4" customHeight="1">
      <c r="A131" s="206" t="s">
        <v>567</v>
      </c>
      <c r="B131" s="208" t="s">
        <v>2342</v>
      </c>
      <c r="C131" s="206" t="str">
        <f t="shared" si="44"/>
        <v>Parameter-Variation: d_Insulation = 15 cm</v>
      </c>
      <c r="D131" s="206"/>
      <c r="E131" s="206" t="s">
        <v>198</v>
      </c>
      <c r="F131" s="206" t="str">
        <f t="shared" si="45"/>
        <v>15 cm</v>
      </c>
      <c r="G131" s="206" t="s">
        <v>2170</v>
      </c>
      <c r="H131" s="206" t="s">
        <v>2171</v>
      </c>
      <c r="I131" s="156" t="s">
        <v>80</v>
      </c>
      <c r="J131" s="156" t="s">
        <v>134</v>
      </c>
      <c r="K131" s="156" t="s">
        <v>155</v>
      </c>
      <c r="L131" s="156" t="s">
        <v>66</v>
      </c>
      <c r="M131" s="156" t="s">
        <v>188</v>
      </c>
      <c r="N131" s="7">
        <v>1925</v>
      </c>
      <c r="O131" s="156">
        <v>1</v>
      </c>
      <c r="P131" s="156">
        <v>0</v>
      </c>
      <c r="Q131" s="156" t="s">
        <v>435</v>
      </c>
      <c r="R131" s="156" t="s">
        <v>58</v>
      </c>
      <c r="S131" s="19">
        <v>15</v>
      </c>
      <c r="T131" s="19">
        <v>1</v>
      </c>
      <c r="U131" s="19">
        <v>2016</v>
      </c>
      <c r="V131" s="19">
        <v>3.5000000000000003E-2</v>
      </c>
      <c r="W131" s="28" t="s">
        <v>59</v>
      </c>
      <c r="X131" s="19" t="e">
        <v>#N/A</v>
      </c>
      <c r="Y131" s="105">
        <f ca="1">IFERROR(OFFSET(Tab.Const.ConstrBorder!$A$1,MATCH(Q131,Tab.Const.ConstrBorder!$A:$A,0)-1,MATCH(Y$87,Tab.Const.ConstrBorder!$1:$1,0)-1),0)</f>
        <v>0</v>
      </c>
      <c r="Z131" s="18">
        <f t="shared" si="27"/>
        <v>1925</v>
      </c>
      <c r="AA131" s="17">
        <f>MATCH(Z131,Tab.Year.Period!$11:$11,1)-3</f>
        <v>3</v>
      </c>
      <c r="AB131" s="17">
        <f>MATCH(AB$88&amp;"."&amp;TEXT(AA131,"00"),Tab.U.Default!$A:$A,0)</f>
        <v>26</v>
      </c>
      <c r="AC131" s="105">
        <f ca="1">OFFSET(Tab.U.Default!$A$1,$AB131-1,MATCH("U_Class_"&amp;IF($J131="TopCeiling","UpperCeiling",$J131)&amp;"_"&amp;AC$87,Tab.U.Default!$1:$1,0)-1)</f>
        <v>1.5</v>
      </c>
      <c r="AD131" s="105">
        <f ca="1">OFFSET(Tab.U.Default!$A$1,$AB131-1,MATCH("U_Class_"&amp;IF($J131="TopCeiling","UpperCeiling",$J131)&amp;"_"&amp;AD$87,Tab.U.Default!$1:$1,0)-1)</f>
        <v>1.5</v>
      </c>
      <c r="AE131" s="105">
        <f ca="1">OFFSET(Tab.U.Default!$A$1,$AB131-1,MATCH("U_Class_"&amp;IF($J131="TopCeiling","UpperCeiling",$J131)&amp;"_"&amp;AE$87,Tab.U.Default!$1:$1,0)-1)</f>
        <v>1.5</v>
      </c>
      <c r="AF131" s="26">
        <f t="shared" ca="1" si="0"/>
        <v>1.5</v>
      </c>
      <c r="AG131" s="26">
        <f t="shared" ref="AG131:AG155" ca="1" si="48">1/(1/AF131+Y131)</f>
        <v>1.5</v>
      </c>
      <c r="AH131" s="18" t="str">
        <f t="shared" si="2"/>
        <v>Refurbish</v>
      </c>
      <c r="AI131" s="18" t="str">
        <f t="shared" si="28"/>
        <v>Add</v>
      </c>
      <c r="AJ131" s="18">
        <f t="shared" si="3"/>
        <v>2016</v>
      </c>
      <c r="AK131" s="17">
        <f>MATCH(AJ131,Tab.Year.Period!$11:$11,1)-3</f>
        <v>12</v>
      </c>
      <c r="AL131" s="17">
        <f>MATCH(AL$88&amp;"."&amp;TEXT(AK131,"00"),Tab.Insulation.Default!$A:$A,0)</f>
        <v>23</v>
      </c>
      <c r="AM131" s="20" t="e">
        <f ca="1">IF(ISNA(IF(S131="",#N/A,S131)),OFFSET(Tab.Insulation.Default!$A$1,$AL131-1,MATCH(AM$87&amp;"_"&amp;$K131,Tab.Insulation.Default!$1:$1,0)-1),#N/A)</f>
        <v>#N/A</v>
      </c>
      <c r="AN131" s="27">
        <f t="shared" si="29"/>
        <v>15</v>
      </c>
      <c r="AO131" s="22" t="e">
        <f ca="1">IF(ISNA(IF(V131="",#N/A,V131)),OFFSET(Tab.Insulation.Default!$A$1,$AL131-1,MATCH(AO$87&amp;"_"&amp;$K131,Tab.Insulation.Default!$1:$1,0)-1),#N/A)</f>
        <v>#N/A</v>
      </c>
      <c r="AP131" s="23">
        <f t="shared" si="30"/>
        <v>3.5000000000000003E-2</v>
      </c>
      <c r="AQ131" s="29" t="str">
        <f t="shared" si="4"/>
        <v>Gen.Refurbished.12</v>
      </c>
      <c r="AR131" s="17">
        <f>MATCH(AR$88&amp;"."&amp;AQ131,Tab.Measure.f.Default!$A:$A,0)</f>
        <v>23</v>
      </c>
      <c r="AS131" s="21">
        <f ca="1">OFFSET(Tab.Measure.f.Default!$A$1,AR131-1,MATCH(AS$87&amp;"_"&amp;$J131,Tab.Measure.f.Default!$1:$1,0)-1)</f>
        <v>0.75</v>
      </c>
      <c r="AT131" s="29" t="str">
        <f t="shared" si="5"/>
        <v>MUH.NA.03</v>
      </c>
      <c r="AU131" s="17">
        <f>MATCH(AU$88&amp;"."&amp;AT131,Tab.Measure.f.Default!$A:$A,0)</f>
        <v>38</v>
      </c>
      <c r="AV131" s="21">
        <f ca="1">OFFSET(Tab.Measure.f.Default!$A$1,AU131-1,MATCH(AV$87&amp;"_"&amp;$J131,Tab.Measure.f.Default!$1:$1,0)-1)</f>
        <v>0.37</v>
      </c>
      <c r="AW131" s="30">
        <f t="shared" si="33"/>
        <v>1</v>
      </c>
      <c r="AX131" s="9">
        <f t="shared" ca="1" si="6"/>
        <v>0.66666666666666663</v>
      </c>
      <c r="AY131" s="9">
        <f t="shared" si="7"/>
        <v>4.2857142857142856</v>
      </c>
      <c r="AZ131" s="9">
        <f t="shared" ca="1" si="46"/>
        <v>4.9523809523809526</v>
      </c>
      <c r="BA131" s="9">
        <f t="shared" ca="1" si="47"/>
        <v>0.20192307692307693</v>
      </c>
      <c r="BB131" s="9">
        <f t="shared" ca="1" si="8"/>
        <v>0.20192307692307693</v>
      </c>
      <c r="BC131" s="32" t="str">
        <f t="shared" si="9"/>
        <v>D</v>
      </c>
      <c r="BD131" s="20" t="str">
        <f ca="1">OFFSET(Tab.Uncertainty.Levels!$A$1,MATCH(BD$88,Tab.Uncertainty.Levels!$A:$A,0)-1,MATCH(BD$87&amp;"_"&amp;BC131,Tab.Uncertainty.Levels!$1:$1,0)-1)</f>
        <v>Use of default values; building constructed until 1983</v>
      </c>
      <c r="BE131" s="24">
        <f ca="1">OFFSET(Tab.Uncertainty.Levels!$A$1,MATCH(BE$88,Tab.Uncertainty.Levels!$A:$A,0)-1,MATCH(BE$87&amp;"_"&amp;BC131,Tab.Uncertainty.Levels!$1:$1,0)-1)</f>
        <v>0.3</v>
      </c>
      <c r="BF131" s="32" t="str">
        <f t="shared" si="10"/>
        <v>-</v>
      </c>
      <c r="BG131" s="20" t="e">
        <f ca="1">OFFSET(Tab.Uncertainty.Levels!$A$1,MATCH(BG$88,Tab.Uncertainty.Levels!$A:$A,0)-1,MATCH(BG$87&amp;"_"&amp;BF131,Tab.Uncertainty.Levels!$1:$1,0)-1)</f>
        <v>#N/A</v>
      </c>
      <c r="BH131" s="24" t="e">
        <f ca="1">OFFSET(Tab.Uncertainty.Levels!$A$1,MATCH(BH$88,Tab.Uncertainty.Levels!$A:$A,0)-1,MATCH(BH$87&amp;"_"&amp;BF131,Tab.Uncertainty.Levels!$1:$1,0)-1)</f>
        <v>#N/A</v>
      </c>
      <c r="BI131" s="32" t="str">
        <f t="shared" si="31"/>
        <v>D</v>
      </c>
      <c r="BJ131" s="13">
        <f ca="1">IF(BF131="-",BE131,BH131)</f>
        <v>0.3</v>
      </c>
      <c r="BK131" s="32" t="str">
        <f>IF(OR($L131="NoDataSource",IFERROR(IF($S131="",#N/A,$S131),0)=0),IF(IFERROR(IF(U131="",#N/A,U131),0)=0,"E","D"),IF($L131="DesignDataPlusQA","A",IF($L131="DesignData","B","C")))</f>
        <v>C</v>
      </c>
      <c r="BL131" s="20" t="str">
        <f ca="1">OFFSET(Tab.Uncertainty.Levels!$A$1,MATCH(BL$88,Tab.Uncertainty.Levels!$A:$A,0)-1,MATCH(BL$87&amp;"_"&amp;BK131,Tab.Uncertainty.Levels!$1:$1,0)-1)</f>
        <v>Insulation thickness determined by inspection onsite / record or statement of owner</v>
      </c>
      <c r="BM131" s="24">
        <f ca="1">OFFSET(Tab.Uncertainty.Levels!$A$1,MATCH(BM$88,Tab.Uncertainty.Levels!$A:$A,0)-1,MATCH(BM$87&amp;"_"&amp;BK131,Tab.Uncertainty.Levels!$1:$1,0)-1)</f>
        <v>0.25</v>
      </c>
      <c r="BN131" s="34">
        <f ca="1">OFFSET(Tab.Uncertainty.Levels!$A$1,MATCH(BN$88,Tab.Uncertainty.Levels!$A:$A,0)-1,MATCH(BN$87&amp;"_"&amp;BK131,Tab.Uncertainty.Levels!$1:$1,0)-1)</f>
        <v>2</v>
      </c>
      <c r="BO131" s="13">
        <f ca="1">IFERROR(MIN(BM131,BN131/AN131),0)</f>
        <v>0.13333333333333333</v>
      </c>
      <c r="BP131" s="32" t="str">
        <f>IF(OR($L131="NoDataSource",IFERROR(IF($V131="",#N/A,$V131),0)=0),IF(IFERROR(IF(U131="",#N/A,U131),0)=0,"E","D"),IF($L131="DesignDataPlusQA","A",IF($L131="DesignData","B","C")))</f>
        <v>C</v>
      </c>
      <c r="BQ131" s="20" t="str">
        <f ca="1">OFFSET(Tab.Uncertainty.Levels!$A$1,MATCH(BQ$88,Tab.Uncertainty.Levels!$A:$A,0)-1,MATCH(BQ$87&amp;"_"&amp;BP131,Tab.Uncertainty.Levels!$1:$1,0)-1)</f>
        <v>Thermal conductivity of Insulation determined by inspection onsite / record or statement of owner</v>
      </c>
      <c r="BR131" s="97">
        <f ca="1">OFFSET(Tab.Uncertainty.Levels!$A$1,MATCH(BR$88,Tab.Uncertainty.Levels!$A:$A,0)-1,MATCH(BR$87&amp;"_"&amp;BP131,Tab.Uncertainty.Levels!$1:$1,0)-1)</f>
        <v>0.15</v>
      </c>
      <c r="BS131" s="32" t="str">
        <f>IF(L131="NoDataSource","D",IF(IFERROR(IF($T131="",#N/A,$T131),0)=0,IF(OR(IFERROR(IF($S131="",#N/A,$S131),0)&gt;0,$R131="Refurbish"),"D","E"),IF($L131="DesignDataPlusQA","A",IF($L131="DesignData","B","C"))))</f>
        <v>C</v>
      </c>
      <c r="BT131" s="20" t="str">
        <f ca="1">OFFSET(Tab.Uncertainty.Levels!$A$1,MATCH(BT$88,Tab.Uncertainty.Levels!$A:$A,0)-1,MATCH(BT$87&amp;"_"&amp;BS131,Tab.Uncertainty.Levels!$1:$1,0)-1)</f>
        <v>Insulation fraction determined by inspection onsite / record or statement of owner</v>
      </c>
      <c r="BU131" s="33">
        <f ca="1">OFFSET(Tab.Uncertainty.Levels!$A$1,MATCH(BU$88,Tab.Uncertainty.Levels!$A:$A,0)-1,MATCH(BU$87&amp;"_"&amp;BS131,Tab.Uncertainty.Levels!$1:$1,0)-1)</f>
        <v>0.2</v>
      </c>
      <c r="BV131" s="13">
        <f ca="1">IFERROR(MIN(BU131/AW131,1,(1-AW131)/AW131),0)</f>
        <v>0</v>
      </c>
      <c r="BW131" s="96">
        <f ca="1">ABS(1+(AW131*(1/(1+AN131/100/AP131*AG131)^2-1)))*BJ131*$AG131</f>
        <v>8.1545857988165656E-3</v>
      </c>
      <c r="BX131" s="96">
        <f ca="1">ABS(-AG131+1/(1/AG131+AN131/100/AP131))*BV131*AW131</f>
        <v>0</v>
      </c>
      <c r="BY131" s="96">
        <f ca="1">ABS(-AW131*AP131/((AP131/AG131+AN131/100)^2))*(BO131*AN131/100)</f>
        <v>2.3298816568047335E-2</v>
      </c>
      <c r="BZ131" s="202">
        <f ca="1">ABS(AW131*AN131/100/(1/AG131*AP131+AN131/100)^2)*(BR131*AP131)</f>
        <v>2.6211168639053255E-2</v>
      </c>
      <c r="CA131" s="103">
        <f t="shared" ca="1" si="32"/>
        <v>3.600496471941983E-2</v>
      </c>
      <c r="CB131" s="37">
        <f t="shared" ca="1" si="11"/>
        <v>4.0384615384615373E-2</v>
      </c>
      <c r="CC131" s="37">
        <f t="shared" ca="1" si="12"/>
        <v>0</v>
      </c>
      <c r="CD131" s="37">
        <f t="shared" ca="1" si="13"/>
        <v>0.11538461538461536</v>
      </c>
      <c r="CE131" s="37">
        <f t="shared" ca="1" si="14"/>
        <v>0.12980769230769232</v>
      </c>
      <c r="CF131" s="13">
        <f t="shared" ca="1" si="15"/>
        <v>0.17831030146760296</v>
      </c>
      <c r="CG131" s="101">
        <f ca="1">AG131</f>
        <v>1.5</v>
      </c>
      <c r="CH131" s="101">
        <f>AW131</f>
        <v>1</v>
      </c>
      <c r="CI131" s="203">
        <f>IF(CH131&gt;0,AN131,0)</f>
        <v>15</v>
      </c>
      <c r="CJ131" s="102">
        <f>IF(AND(CH131&gt;0,CI131&gt;0),AP131,0)</f>
        <v>3.5000000000000003E-2</v>
      </c>
      <c r="CK131" s="102">
        <f ca="1">BB131</f>
        <v>0.20192307692307693</v>
      </c>
      <c r="CL131" s="37">
        <f t="shared" ref="CL131:CL155" ca="1" si="49">BJ131</f>
        <v>0.3</v>
      </c>
      <c r="CM131" s="37">
        <f t="shared" ref="CM131:CM155" ca="1" si="50">BV131</f>
        <v>0</v>
      </c>
      <c r="CN131" s="37">
        <f t="shared" ref="CN131:CN155" ca="1" si="51">BO131</f>
        <v>0.13333333333333333</v>
      </c>
      <c r="CO131" s="37">
        <f t="shared" ref="CO131:CO155" ca="1" si="52">BR131</f>
        <v>0.15</v>
      </c>
      <c r="CP131" s="37">
        <f t="shared" ref="CP131:CP155" ca="1" si="53">CF131</f>
        <v>0.17831030146760296</v>
      </c>
      <c r="CQ131" s="95">
        <f t="shared" ref="CQ131:CQ155" ca="1" si="54">CG131*CL131</f>
        <v>0.44999999999999996</v>
      </c>
      <c r="CR131" s="95">
        <f t="shared" ref="CR131:CR155" ca="1" si="55">CH131*CM131</f>
        <v>0</v>
      </c>
      <c r="CS131" s="95">
        <f t="shared" ref="CS131:CS155" ca="1" si="56">CI131*CN131</f>
        <v>2</v>
      </c>
      <c r="CT131" s="103">
        <f t="shared" ref="CT131:CT155" ca="1" si="57">CJ131*CO131</f>
        <v>5.2500000000000003E-3</v>
      </c>
      <c r="CU131" s="95">
        <f t="shared" ref="CU131:CU155" ca="1" si="58">CK131*CP131</f>
        <v>3.600496471941983E-2</v>
      </c>
      <c r="CV131" s="37">
        <f ca="1">$CB131^2/$CF131^2</f>
        <v>5.1295472389426819E-2</v>
      </c>
      <c r="CW131" s="37">
        <f ca="1">$CD131^2/$CF131^2</f>
        <v>0.41873855011777011</v>
      </c>
      <c r="CX131" s="37">
        <f ca="1">$CE131^2/$CF131^2</f>
        <v>0.52996597749280305</v>
      </c>
      <c r="CY131" s="37">
        <f ca="1">$CC131^2/$CF131^2</f>
        <v>0</v>
      </c>
      <c r="DA131" s="98" t="s">
        <v>214</v>
      </c>
      <c r="DB131" s="36">
        <f ca="1">OFFSET($A$1,ROW(DB131)-1,MATCH(DA131,$1:$1,0)-1)</f>
        <v>15</v>
      </c>
      <c r="DC131" s="9">
        <f ca="1">BB131</f>
        <v>0.20192307692307693</v>
      </c>
      <c r="DD131" s="9">
        <f ca="1">$DC131+$CA131</f>
        <v>0.23792804164249676</v>
      </c>
      <c r="DE131" s="9">
        <f ca="1">$DC131-$CA131</f>
        <v>0.1659181122036571</v>
      </c>
      <c r="DF131" s="10">
        <f t="shared" ca="1" si="43"/>
        <v>0.17831030146760296</v>
      </c>
    </row>
    <row r="132" spans="1:110" s="8" customFormat="1" ht="32.4" customHeight="1">
      <c r="A132" s="206" t="s">
        <v>568</v>
      </c>
      <c r="B132" s="208" t="s">
        <v>2342</v>
      </c>
      <c r="C132" s="206" t="str">
        <f t="shared" si="44"/>
        <v>Parameter-Variation: d_Insulation = 20 cm</v>
      </c>
      <c r="D132" s="206"/>
      <c r="E132" s="206" t="s">
        <v>198</v>
      </c>
      <c r="F132" s="206" t="str">
        <f t="shared" si="45"/>
        <v>20 cm</v>
      </c>
      <c r="G132" s="206" t="s">
        <v>2170</v>
      </c>
      <c r="H132" s="206" t="s">
        <v>2171</v>
      </c>
      <c r="I132" s="156" t="s">
        <v>80</v>
      </c>
      <c r="J132" s="156" t="s">
        <v>134</v>
      </c>
      <c r="K132" s="156" t="s">
        <v>155</v>
      </c>
      <c r="L132" s="156" t="s">
        <v>66</v>
      </c>
      <c r="M132" s="156" t="s">
        <v>188</v>
      </c>
      <c r="N132" s="7">
        <v>1925</v>
      </c>
      <c r="O132" s="156">
        <v>1</v>
      </c>
      <c r="P132" s="156">
        <v>0</v>
      </c>
      <c r="Q132" s="156" t="s">
        <v>435</v>
      </c>
      <c r="R132" s="156" t="s">
        <v>58</v>
      </c>
      <c r="S132" s="19">
        <v>20</v>
      </c>
      <c r="T132" s="19">
        <v>1</v>
      </c>
      <c r="U132" s="19">
        <v>2016</v>
      </c>
      <c r="V132" s="19">
        <v>3.5000000000000003E-2</v>
      </c>
      <c r="W132" s="28" t="s">
        <v>59</v>
      </c>
      <c r="X132" s="19" t="e">
        <v>#N/A</v>
      </c>
      <c r="Y132" s="105">
        <f ca="1">IFERROR(OFFSET(Tab.Const.ConstrBorder!$A$1,MATCH(Q132,Tab.Const.ConstrBorder!$A:$A,0)-1,MATCH(Y$87,Tab.Const.ConstrBorder!$1:$1,0)-1),0)</f>
        <v>0</v>
      </c>
      <c r="Z132" s="18">
        <f t="shared" si="27"/>
        <v>1925</v>
      </c>
      <c r="AA132" s="17">
        <f>MATCH(Z132,Tab.Year.Period!$11:$11,1)-3</f>
        <v>3</v>
      </c>
      <c r="AB132" s="17">
        <f>MATCH(AB$88&amp;"."&amp;TEXT(AA132,"00"),Tab.U.Default!$A:$A,0)</f>
        <v>26</v>
      </c>
      <c r="AC132" s="105">
        <f ca="1">OFFSET(Tab.U.Default!$A$1,$AB132-1,MATCH("U_Class_"&amp;IF($J132="TopCeiling","UpperCeiling",$J132)&amp;"_"&amp;AC$87,Tab.U.Default!$1:$1,0)-1)</f>
        <v>1.5</v>
      </c>
      <c r="AD132" s="105">
        <f ca="1">OFFSET(Tab.U.Default!$A$1,$AB132-1,MATCH("U_Class_"&amp;IF($J132="TopCeiling","UpperCeiling",$J132)&amp;"_"&amp;AD$87,Tab.U.Default!$1:$1,0)-1)</f>
        <v>1.5</v>
      </c>
      <c r="AE132" s="105">
        <f ca="1">OFFSET(Tab.U.Default!$A$1,$AB132-1,MATCH("U_Class_"&amp;IF($J132="TopCeiling","UpperCeiling",$J132)&amp;"_"&amp;AE$87,Tab.U.Default!$1:$1,0)-1)</f>
        <v>1.5</v>
      </c>
      <c r="AF132" s="26">
        <f t="shared" ca="1" si="0"/>
        <v>1.5</v>
      </c>
      <c r="AG132" s="26">
        <f t="shared" ca="1" si="48"/>
        <v>1.5</v>
      </c>
      <c r="AH132" s="18" t="str">
        <f t="shared" si="2"/>
        <v>Refurbish</v>
      </c>
      <c r="AI132" s="18" t="str">
        <f t="shared" si="28"/>
        <v>Add</v>
      </c>
      <c r="AJ132" s="18">
        <f t="shared" si="3"/>
        <v>2016</v>
      </c>
      <c r="AK132" s="17">
        <f>MATCH(AJ132,Tab.Year.Period!$11:$11,1)-3</f>
        <v>12</v>
      </c>
      <c r="AL132" s="17">
        <f>MATCH(AL$88&amp;"."&amp;TEXT(AK132,"00"),Tab.Insulation.Default!$A:$A,0)</f>
        <v>23</v>
      </c>
      <c r="AM132" s="20" t="e">
        <f ca="1">IF(ISNA(IF(S132="",#N/A,S132)),OFFSET(Tab.Insulation.Default!$A$1,$AL132-1,MATCH(AM$87&amp;"_"&amp;$K132,Tab.Insulation.Default!$1:$1,0)-1),#N/A)</f>
        <v>#N/A</v>
      </c>
      <c r="AN132" s="27">
        <f t="shared" si="29"/>
        <v>20</v>
      </c>
      <c r="AO132" s="22" t="e">
        <f ca="1">IF(ISNA(IF(V132="",#N/A,V132)),OFFSET(Tab.Insulation.Default!$A$1,$AL132-1,MATCH(AO$87&amp;"_"&amp;$K132,Tab.Insulation.Default!$1:$1,0)-1),#N/A)</f>
        <v>#N/A</v>
      </c>
      <c r="AP132" s="23">
        <f t="shared" si="30"/>
        <v>3.5000000000000003E-2</v>
      </c>
      <c r="AQ132" s="29" t="str">
        <f t="shared" si="4"/>
        <v>Gen.Refurbished.12</v>
      </c>
      <c r="AR132" s="17">
        <f>MATCH(AR$88&amp;"."&amp;AQ132,Tab.Measure.f.Default!$A:$A,0)</f>
        <v>23</v>
      </c>
      <c r="AS132" s="21">
        <f ca="1">OFFSET(Tab.Measure.f.Default!$A$1,AR132-1,MATCH(AS$87&amp;"_"&amp;$J132,Tab.Measure.f.Default!$1:$1,0)-1)</f>
        <v>0.75</v>
      </c>
      <c r="AT132" s="29" t="str">
        <f t="shared" si="5"/>
        <v>MUH.NA.03</v>
      </c>
      <c r="AU132" s="17">
        <f>MATCH(AU$88&amp;"."&amp;AT132,Tab.Measure.f.Default!$A:$A,0)</f>
        <v>38</v>
      </c>
      <c r="AV132" s="21">
        <f ca="1">OFFSET(Tab.Measure.f.Default!$A$1,AU132-1,MATCH(AV$87&amp;"_"&amp;$J132,Tab.Measure.f.Default!$1:$1,0)-1)</f>
        <v>0.37</v>
      </c>
      <c r="AW132" s="30">
        <f t="shared" si="33"/>
        <v>1</v>
      </c>
      <c r="AX132" s="9">
        <f t="shared" ca="1" si="6"/>
        <v>0.66666666666666663</v>
      </c>
      <c r="AY132" s="9">
        <f t="shared" si="7"/>
        <v>5.7142857142857144</v>
      </c>
      <c r="AZ132" s="9">
        <f t="shared" ca="1" si="46"/>
        <v>6.3809523809523814</v>
      </c>
      <c r="BA132" s="9">
        <f t="shared" ca="1" si="47"/>
        <v>0.15671641791044774</v>
      </c>
      <c r="BB132" s="9">
        <f t="shared" ca="1" si="8"/>
        <v>0.15671641791044774</v>
      </c>
      <c r="BC132" s="32" t="str">
        <f t="shared" si="9"/>
        <v>D</v>
      </c>
      <c r="BD132" s="20" t="str">
        <f ca="1">OFFSET(Tab.Uncertainty.Levels!$A$1,MATCH(BD$88,Tab.Uncertainty.Levels!$A:$A,0)-1,MATCH(BD$87&amp;"_"&amp;BC132,Tab.Uncertainty.Levels!$1:$1,0)-1)</f>
        <v>Use of default values; building constructed until 1983</v>
      </c>
      <c r="BE132" s="24">
        <f ca="1">OFFSET(Tab.Uncertainty.Levels!$A$1,MATCH(BE$88,Tab.Uncertainty.Levels!$A:$A,0)-1,MATCH(BE$87&amp;"_"&amp;BC132,Tab.Uncertainty.Levels!$1:$1,0)-1)</f>
        <v>0.3</v>
      </c>
      <c r="BF132" s="32" t="str">
        <f t="shared" si="10"/>
        <v>-</v>
      </c>
      <c r="BG132" s="20" t="e">
        <f ca="1">OFFSET(Tab.Uncertainty.Levels!$A$1,MATCH(BG$88,Tab.Uncertainty.Levels!$A:$A,0)-1,MATCH(BG$87&amp;"_"&amp;BF132,Tab.Uncertainty.Levels!$1:$1,0)-1)</f>
        <v>#N/A</v>
      </c>
      <c r="BH132" s="24" t="e">
        <f ca="1">OFFSET(Tab.Uncertainty.Levels!$A$1,MATCH(BH$88,Tab.Uncertainty.Levels!$A:$A,0)-1,MATCH(BH$87&amp;"_"&amp;BF132,Tab.Uncertainty.Levels!$1:$1,0)-1)</f>
        <v>#N/A</v>
      </c>
      <c r="BI132" s="32" t="str">
        <f t="shared" si="31"/>
        <v>D</v>
      </c>
      <c r="BJ132" s="13">
        <f ca="1">IF(BF132="-",BE132,BH132)</f>
        <v>0.3</v>
      </c>
      <c r="BK132" s="32" t="str">
        <f>IF(OR($L132="NoDataSource",IFERROR(IF($S132="",#N/A,$S132),0)=0),IF(IFERROR(IF(U132="",#N/A,U132),0)=0,"E","D"),IF($L132="DesignDataPlusQA","A",IF($L132="DesignData","B","C")))</f>
        <v>C</v>
      </c>
      <c r="BL132" s="20" t="str">
        <f ca="1">OFFSET(Tab.Uncertainty.Levels!$A$1,MATCH(BL$88,Tab.Uncertainty.Levels!$A:$A,0)-1,MATCH(BL$87&amp;"_"&amp;BK132,Tab.Uncertainty.Levels!$1:$1,0)-1)</f>
        <v>Insulation thickness determined by inspection onsite / record or statement of owner</v>
      </c>
      <c r="BM132" s="24">
        <f ca="1">OFFSET(Tab.Uncertainty.Levels!$A$1,MATCH(BM$88,Tab.Uncertainty.Levels!$A:$A,0)-1,MATCH(BM$87&amp;"_"&amp;BK132,Tab.Uncertainty.Levels!$1:$1,0)-1)</f>
        <v>0.25</v>
      </c>
      <c r="BN132" s="34">
        <f ca="1">OFFSET(Tab.Uncertainty.Levels!$A$1,MATCH(BN$88,Tab.Uncertainty.Levels!$A:$A,0)-1,MATCH(BN$87&amp;"_"&amp;BK132,Tab.Uncertainty.Levels!$1:$1,0)-1)</f>
        <v>2</v>
      </c>
      <c r="BO132" s="13">
        <f ca="1">IFERROR(MIN(BM132,BN132/AN132),0)</f>
        <v>0.1</v>
      </c>
      <c r="BP132" s="32" t="str">
        <f>IF(OR($L132="NoDataSource",IFERROR(IF($V132="",#N/A,$V132),0)=0),IF(IFERROR(IF(U132="",#N/A,U132),0)=0,"E","D"),IF($L132="DesignDataPlusQA","A",IF($L132="DesignData","B","C")))</f>
        <v>C</v>
      </c>
      <c r="BQ132" s="20" t="str">
        <f ca="1">OFFSET(Tab.Uncertainty.Levels!$A$1,MATCH(BQ$88,Tab.Uncertainty.Levels!$A:$A,0)-1,MATCH(BQ$87&amp;"_"&amp;BP132,Tab.Uncertainty.Levels!$1:$1,0)-1)</f>
        <v>Thermal conductivity of Insulation determined by inspection onsite / record or statement of owner</v>
      </c>
      <c r="BR132" s="97">
        <f ca="1">OFFSET(Tab.Uncertainty.Levels!$A$1,MATCH(BR$88,Tab.Uncertainty.Levels!$A:$A,0)-1,MATCH(BR$87&amp;"_"&amp;BP132,Tab.Uncertainty.Levels!$1:$1,0)-1)</f>
        <v>0.15</v>
      </c>
      <c r="BS132" s="32" t="str">
        <f>IF(L132="NoDataSource","D",IF(IFERROR(IF($T132="",#N/A,$T132),0)=0,IF(OR(IFERROR(IF($S132="",#N/A,$S132),0)&gt;0,$R132="Refurbish"),"D","E"),IF($L132="DesignDataPlusQA","A",IF($L132="DesignData","B","C"))))</f>
        <v>C</v>
      </c>
      <c r="BT132" s="20" t="str">
        <f ca="1">OFFSET(Tab.Uncertainty.Levels!$A$1,MATCH(BT$88,Tab.Uncertainty.Levels!$A:$A,0)-1,MATCH(BT$87&amp;"_"&amp;BS132,Tab.Uncertainty.Levels!$1:$1,0)-1)</f>
        <v>Insulation fraction determined by inspection onsite / record or statement of owner</v>
      </c>
      <c r="BU132" s="33">
        <f ca="1">OFFSET(Tab.Uncertainty.Levels!$A$1,MATCH(BU$88,Tab.Uncertainty.Levels!$A:$A,0)-1,MATCH(BU$87&amp;"_"&amp;BS132,Tab.Uncertainty.Levels!$1:$1,0)-1)</f>
        <v>0.2</v>
      </c>
      <c r="BV132" s="13">
        <f ca="1">IFERROR(MIN(BU132/AW132,1,(1-AW132)/AW132),0)</f>
        <v>0</v>
      </c>
      <c r="BW132" s="96">
        <f ca="1">ABS(1+(AW132*(1/(1+AN132/100/AP132*AG132)^2-1)))*BJ132*$AG132</f>
        <v>4.9120071285364162E-3</v>
      </c>
      <c r="BX132" s="96">
        <f ca="1">ABS(-AG132+1/(1/AG132+AN132/100/AP132))*BV132*AW132</f>
        <v>0</v>
      </c>
      <c r="BY132" s="96">
        <f ca="1">ABS(-AW132*AP132/((AP132/AG132+AN132/100)^2))*(BO132*AN132/100)</f>
        <v>1.4034306081532635E-2</v>
      </c>
      <c r="BZ132" s="202">
        <f ca="1">ABS(AW132*AN132/100/(1/AG132*AP132+AN132/100)^2)*(BR132*AP132)</f>
        <v>2.105145912229895E-2</v>
      </c>
      <c r="CA132" s="103">
        <f t="shared" ca="1" si="32"/>
        <v>2.5773115690555539E-2</v>
      </c>
      <c r="CB132" s="37">
        <f t="shared" ca="1" si="11"/>
        <v>3.1343283582089515E-2</v>
      </c>
      <c r="CC132" s="37">
        <f t="shared" ca="1" si="12"/>
        <v>0</v>
      </c>
      <c r="CD132" s="37">
        <f t="shared" ca="1" si="13"/>
        <v>8.9552238805970158E-2</v>
      </c>
      <c r="CE132" s="37">
        <f t="shared" ca="1" si="14"/>
        <v>0.13432835820895522</v>
      </c>
      <c r="CF132" s="13">
        <f t="shared" ca="1" si="15"/>
        <v>0.16445702393021155</v>
      </c>
      <c r="CG132" s="101">
        <f ca="1">AG132</f>
        <v>1.5</v>
      </c>
      <c r="CH132" s="101">
        <f>AW132</f>
        <v>1</v>
      </c>
      <c r="CI132" s="203">
        <f>IF(CH132&gt;0,AN132,0)</f>
        <v>20</v>
      </c>
      <c r="CJ132" s="102">
        <f>IF(AND(CH132&gt;0,CI132&gt;0),AP132,0)</f>
        <v>3.5000000000000003E-2</v>
      </c>
      <c r="CK132" s="102">
        <f ca="1">BB132</f>
        <v>0.15671641791044774</v>
      </c>
      <c r="CL132" s="37">
        <f t="shared" ca="1" si="49"/>
        <v>0.3</v>
      </c>
      <c r="CM132" s="37">
        <f t="shared" ca="1" si="50"/>
        <v>0</v>
      </c>
      <c r="CN132" s="37">
        <f t="shared" ca="1" si="51"/>
        <v>0.1</v>
      </c>
      <c r="CO132" s="37">
        <f t="shared" ca="1" si="52"/>
        <v>0.15</v>
      </c>
      <c r="CP132" s="37">
        <f t="shared" ca="1" si="53"/>
        <v>0.16445702393021155</v>
      </c>
      <c r="CQ132" s="95">
        <f t="shared" ca="1" si="54"/>
        <v>0.44999999999999996</v>
      </c>
      <c r="CR132" s="95">
        <f t="shared" ca="1" si="55"/>
        <v>0</v>
      </c>
      <c r="CS132" s="95">
        <f t="shared" ca="1" si="56"/>
        <v>2</v>
      </c>
      <c r="CT132" s="103">
        <f t="shared" ca="1" si="57"/>
        <v>5.2500000000000003E-3</v>
      </c>
      <c r="CU132" s="95">
        <f t="shared" ca="1" si="58"/>
        <v>2.5773115690555539E-2</v>
      </c>
      <c r="CV132" s="37">
        <f ca="1">$CB132^2/$CF132^2</f>
        <v>3.6323202372127418E-2</v>
      </c>
      <c r="CW132" s="37">
        <f ca="1">$CD132^2/$CF132^2</f>
        <v>0.29651593773165319</v>
      </c>
      <c r="CX132" s="37">
        <f ca="1">$CE132^2/$CF132^2</f>
        <v>0.66716085989621954</v>
      </c>
      <c r="CY132" s="37">
        <f ca="1">$CC132^2/$CF132^2</f>
        <v>0</v>
      </c>
      <c r="DA132" s="98" t="s">
        <v>214</v>
      </c>
      <c r="DB132" s="36">
        <f ca="1">OFFSET($A$1,ROW(DB132)-1,MATCH(DA132,$1:$1,0)-1)</f>
        <v>20</v>
      </c>
      <c r="DC132" s="9">
        <f ca="1">BB132</f>
        <v>0.15671641791044774</v>
      </c>
      <c r="DD132" s="9">
        <f ca="1">$DC132+$CA132</f>
        <v>0.18248953360100328</v>
      </c>
      <c r="DE132" s="9">
        <f ca="1">$DC132-$CA132</f>
        <v>0.1309433022198922</v>
      </c>
      <c r="DF132" s="10">
        <f t="shared" ca="1" si="43"/>
        <v>0.16445702393021158</v>
      </c>
    </row>
    <row r="133" spans="1:110" s="8" customFormat="1" ht="32.4" customHeight="1">
      <c r="A133" s="206" t="s">
        <v>569</v>
      </c>
      <c r="B133" s="208" t="s">
        <v>2342</v>
      </c>
      <c r="C133" s="206" t="str">
        <f t="shared" si="44"/>
        <v>Parameter-Variation: d_Insulation = 25 cm</v>
      </c>
      <c r="D133" s="206"/>
      <c r="E133" s="206" t="s">
        <v>198</v>
      </c>
      <c r="F133" s="206" t="str">
        <f t="shared" si="45"/>
        <v>25 cm</v>
      </c>
      <c r="G133" s="206" t="s">
        <v>2170</v>
      </c>
      <c r="H133" s="206" t="s">
        <v>2171</v>
      </c>
      <c r="I133" s="156" t="s">
        <v>80</v>
      </c>
      <c r="J133" s="156" t="s">
        <v>134</v>
      </c>
      <c r="K133" s="156" t="s">
        <v>155</v>
      </c>
      <c r="L133" s="156" t="s">
        <v>66</v>
      </c>
      <c r="M133" s="156" t="s">
        <v>188</v>
      </c>
      <c r="N133" s="7">
        <v>1925</v>
      </c>
      <c r="O133" s="156">
        <v>1</v>
      </c>
      <c r="P133" s="156">
        <v>0</v>
      </c>
      <c r="Q133" s="156" t="s">
        <v>435</v>
      </c>
      <c r="R133" s="156" t="s">
        <v>58</v>
      </c>
      <c r="S133" s="19">
        <v>25</v>
      </c>
      <c r="T133" s="19">
        <v>1</v>
      </c>
      <c r="U133" s="19">
        <v>2016</v>
      </c>
      <c r="V133" s="19">
        <v>3.5000000000000003E-2</v>
      </c>
      <c r="W133" s="28" t="s">
        <v>59</v>
      </c>
      <c r="X133" s="19" t="e">
        <v>#N/A</v>
      </c>
      <c r="Y133" s="105">
        <f ca="1">IFERROR(OFFSET(Tab.Const.ConstrBorder!$A$1,MATCH(Q133,Tab.Const.ConstrBorder!$A:$A,0)-1,MATCH(Y$87,Tab.Const.ConstrBorder!$1:$1,0)-1),0)</f>
        <v>0</v>
      </c>
      <c r="Z133" s="18">
        <f t="shared" si="27"/>
        <v>1925</v>
      </c>
      <c r="AA133" s="17">
        <f>MATCH(Z133,Tab.Year.Period!$11:$11,1)-3</f>
        <v>3</v>
      </c>
      <c r="AB133" s="17">
        <f>MATCH(AB$88&amp;"."&amp;TEXT(AA133,"00"),Tab.U.Default!$A:$A,0)</f>
        <v>26</v>
      </c>
      <c r="AC133" s="105">
        <f ca="1">OFFSET(Tab.U.Default!$A$1,$AB133-1,MATCH("U_Class_"&amp;IF($J133="TopCeiling","UpperCeiling",$J133)&amp;"_"&amp;AC$87,Tab.U.Default!$1:$1,0)-1)</f>
        <v>1.5</v>
      </c>
      <c r="AD133" s="105">
        <f ca="1">OFFSET(Tab.U.Default!$A$1,$AB133-1,MATCH("U_Class_"&amp;IF($J133="TopCeiling","UpperCeiling",$J133)&amp;"_"&amp;AD$87,Tab.U.Default!$1:$1,0)-1)</f>
        <v>1.5</v>
      </c>
      <c r="AE133" s="105">
        <f ca="1">OFFSET(Tab.U.Default!$A$1,$AB133-1,MATCH("U_Class_"&amp;IF($J133="TopCeiling","UpperCeiling",$J133)&amp;"_"&amp;AE$87,Tab.U.Default!$1:$1,0)-1)</f>
        <v>1.5</v>
      </c>
      <c r="AF133" s="26">
        <f t="shared" ca="1" si="0"/>
        <v>1.5</v>
      </c>
      <c r="AG133" s="26">
        <f t="shared" ca="1" si="48"/>
        <v>1.5</v>
      </c>
      <c r="AH133" s="18" t="str">
        <f t="shared" ref="AH133:AH164" si="59">IF(R133&lt;&gt;"_NA_",R133,IF(Z133&lt;AH$88,"Refurbish","Original"))</f>
        <v>Refurbish</v>
      </c>
      <c r="AI133" s="18" t="str">
        <f t="shared" si="28"/>
        <v>Add</v>
      </c>
      <c r="AJ133" s="18">
        <f t="shared" si="3"/>
        <v>2016</v>
      </c>
      <c r="AK133" s="17">
        <f>MATCH(AJ133,Tab.Year.Period!$11:$11,1)-3</f>
        <v>12</v>
      </c>
      <c r="AL133" s="17">
        <f>MATCH(AL$88&amp;"."&amp;TEXT(AK133,"00"),Tab.Insulation.Default!$A:$A,0)</f>
        <v>23</v>
      </c>
      <c r="AM133" s="20" t="e">
        <f ca="1">IF(ISNA(IF(S133="",#N/A,S133)),OFFSET(Tab.Insulation.Default!$A$1,$AL133-1,MATCH(AM$87&amp;"_"&amp;$K133,Tab.Insulation.Default!$1:$1,0)-1),#N/A)</f>
        <v>#N/A</v>
      </c>
      <c r="AN133" s="27">
        <f t="shared" si="29"/>
        <v>25</v>
      </c>
      <c r="AO133" s="22" t="e">
        <f ca="1">IF(ISNA(IF(V133="",#N/A,V133)),OFFSET(Tab.Insulation.Default!$A$1,$AL133-1,MATCH(AO$87&amp;"_"&amp;$K133,Tab.Insulation.Default!$1:$1,0)-1),#N/A)</f>
        <v>#N/A</v>
      </c>
      <c r="AP133" s="23">
        <f t="shared" si="30"/>
        <v>3.5000000000000003E-2</v>
      </c>
      <c r="AQ133" s="29" t="str">
        <f t="shared" ref="AQ133:AQ164" si="60">"Gen.Refurbished."&amp;TEXT(AK133,"00")</f>
        <v>Gen.Refurbished.12</v>
      </c>
      <c r="AR133" s="17">
        <f>MATCH(AR$88&amp;"."&amp;AQ133,Tab.Measure.f.Default!$A:$A,0)</f>
        <v>23</v>
      </c>
      <c r="AS133" s="21">
        <f ca="1">OFFSET(Tab.Measure.f.Default!$A$1,AR133-1,MATCH(AS$87&amp;"_"&amp;$J133,Tab.Measure.f.Default!$1:$1,0)-1)</f>
        <v>0.75</v>
      </c>
      <c r="AT133" s="29" t="str">
        <f t="shared" ref="AT133:AT164" si="61">I133&amp;".NA."&amp;TEXT(AA133,"00")</f>
        <v>MUH.NA.03</v>
      </c>
      <c r="AU133" s="17">
        <f>MATCH(AU$88&amp;"."&amp;AT133,Tab.Measure.f.Default!$A:$A,0)</f>
        <v>38</v>
      </c>
      <c r="AV133" s="21">
        <f ca="1">OFFSET(Tab.Measure.f.Default!$A$1,AU133-1,MATCH(AV$87&amp;"_"&amp;$J133,Tab.Measure.f.Default!$1:$1,0)-1)</f>
        <v>0.37</v>
      </c>
      <c r="AW133" s="30">
        <f t="shared" si="33"/>
        <v>1</v>
      </c>
      <c r="AX133" s="9">
        <f t="shared" ref="AX133:AX164" ca="1" si="62">1/AG133</f>
        <v>0.66666666666666663</v>
      </c>
      <c r="AY133" s="9">
        <f t="shared" ref="AY133:AY164" si="63">IF(AW133&gt;0,AN133/100/AP133,0)</f>
        <v>7.1428571428571423</v>
      </c>
      <c r="AZ133" s="9">
        <f t="shared" ca="1" si="46"/>
        <v>7.8095238095238093</v>
      </c>
      <c r="BA133" s="9">
        <f t="shared" ca="1" si="47"/>
        <v>0.12804878048780488</v>
      </c>
      <c r="BB133" s="9">
        <f t="shared" ref="BB133:BB164" ca="1" si="64">(1-AW133)*AG133+AW133*BA133</f>
        <v>0.12804878048780488</v>
      </c>
      <c r="BC133" s="32" t="str">
        <f t="shared" ref="BC133:BC164" si="65">IF(IFERROR(IF(N133="",#N/A,N133),0)=0,"E",IF(N133&gt;=1995,"B",IF(N133&gt;=1983,"C","D")))</f>
        <v>D</v>
      </c>
      <c r="BD133" s="20" t="str">
        <f ca="1">OFFSET(Tab.Uncertainty.Levels!$A$1,MATCH(BD$88,Tab.Uncertainty.Levels!$A:$A,0)-1,MATCH(BD$87&amp;"_"&amp;BC133,Tab.Uncertainty.Levels!$1:$1,0)-1)</f>
        <v>Use of default values; building constructed until 1983</v>
      </c>
      <c r="BE133" s="24">
        <f ca="1">OFFSET(Tab.Uncertainty.Levels!$A$1,MATCH(BE$88,Tab.Uncertainty.Levels!$A:$A,0)-1,MATCH(BE$87&amp;"_"&amp;BC133,Tab.Uncertainty.Levels!$1:$1,0)-1)</f>
        <v>0.3</v>
      </c>
      <c r="BF133" s="32" t="str">
        <f t="shared" ref="BF133:BF164" si="66">IF(AND(NOT(M133="Manual"),ISNA(IF($X133="",#N/A,$X133))),"-",IF($L133="DesignDataPlusQA","A",IF($L133="DesignData","B",IF($L133="InspectionOnSite","C",IF($L133="NoDataSource","E","D")))))</f>
        <v>-</v>
      </c>
      <c r="BG133" s="20" t="e">
        <f ca="1">OFFSET(Tab.Uncertainty.Levels!$A$1,MATCH(BG$88,Tab.Uncertainty.Levels!$A:$A,0)-1,MATCH(BG$87&amp;"_"&amp;BF133,Tab.Uncertainty.Levels!$1:$1,0)-1)</f>
        <v>#N/A</v>
      </c>
      <c r="BH133" s="24" t="e">
        <f ca="1">OFFSET(Tab.Uncertainty.Levels!$A$1,MATCH(BH$88,Tab.Uncertainty.Levels!$A:$A,0)-1,MATCH(BH$87&amp;"_"&amp;BF133,Tab.Uncertainty.Levels!$1:$1,0)-1)</f>
        <v>#N/A</v>
      </c>
      <c r="BI133" s="32" t="str">
        <f t="shared" si="31"/>
        <v>D</v>
      </c>
      <c r="BJ133" s="13">
        <f ca="1">IF(BF133="-",BE133,BH133)</f>
        <v>0.3</v>
      </c>
      <c r="BK133" s="32" t="str">
        <f>IF(OR($L133="NoDataSource",IFERROR(IF($S133="",#N/A,$S133),0)=0),IF(IFERROR(IF(U133="",#N/A,U133),0)=0,"E","D"),IF($L133="DesignDataPlusQA","A",IF($L133="DesignData","B","C")))</f>
        <v>C</v>
      </c>
      <c r="BL133" s="20" t="str">
        <f ca="1">OFFSET(Tab.Uncertainty.Levels!$A$1,MATCH(BL$88,Tab.Uncertainty.Levels!$A:$A,0)-1,MATCH(BL$87&amp;"_"&amp;BK133,Tab.Uncertainty.Levels!$1:$1,0)-1)</f>
        <v>Insulation thickness determined by inspection onsite / record or statement of owner</v>
      </c>
      <c r="BM133" s="24">
        <f ca="1">OFFSET(Tab.Uncertainty.Levels!$A$1,MATCH(BM$88,Tab.Uncertainty.Levels!$A:$A,0)-1,MATCH(BM$87&amp;"_"&amp;BK133,Tab.Uncertainty.Levels!$1:$1,0)-1)</f>
        <v>0.25</v>
      </c>
      <c r="BN133" s="34">
        <f ca="1">OFFSET(Tab.Uncertainty.Levels!$A$1,MATCH(BN$88,Tab.Uncertainty.Levels!$A:$A,0)-1,MATCH(BN$87&amp;"_"&amp;BK133,Tab.Uncertainty.Levels!$1:$1,0)-1)</f>
        <v>2</v>
      </c>
      <c r="BO133" s="13">
        <f ca="1">IFERROR(MIN(BM133,BN133/AN133),0)</f>
        <v>0.08</v>
      </c>
      <c r="BP133" s="32" t="str">
        <f>IF(OR($L133="NoDataSource",IFERROR(IF($V133="",#N/A,$V133),0)=0),IF(IFERROR(IF(U133="",#N/A,U133),0)=0,"E","D"),IF($L133="DesignDataPlusQA","A",IF($L133="DesignData","B","C")))</f>
        <v>C</v>
      </c>
      <c r="BQ133" s="20" t="str">
        <f ca="1">OFFSET(Tab.Uncertainty.Levels!$A$1,MATCH(BQ$88,Tab.Uncertainty.Levels!$A:$A,0)-1,MATCH(BQ$87&amp;"_"&amp;BP133,Tab.Uncertainty.Levels!$1:$1,0)-1)</f>
        <v>Thermal conductivity of Insulation determined by inspection onsite / record or statement of owner</v>
      </c>
      <c r="BR133" s="97">
        <f ca="1">OFFSET(Tab.Uncertainty.Levels!$A$1,MATCH(BR$88,Tab.Uncertainty.Levels!$A:$A,0)-1,MATCH(BR$87&amp;"_"&amp;BP133,Tab.Uncertainty.Levels!$1:$1,0)-1)</f>
        <v>0.15</v>
      </c>
      <c r="BS133" s="32" t="str">
        <f>IF(L133="NoDataSource","D",IF(IFERROR(IF($T133="",#N/A,$T133),0)=0,IF(OR(IFERROR(IF($S133="",#N/A,$S133),0)&gt;0,$R133="Refurbish"),"D","E"),IF($L133="DesignDataPlusQA","A",IF($L133="DesignData","B","C"))))</f>
        <v>C</v>
      </c>
      <c r="BT133" s="20" t="str">
        <f ca="1">OFFSET(Tab.Uncertainty.Levels!$A$1,MATCH(BT$88,Tab.Uncertainty.Levels!$A:$A,0)-1,MATCH(BT$87&amp;"_"&amp;BS133,Tab.Uncertainty.Levels!$1:$1,0)-1)</f>
        <v>Insulation fraction determined by inspection onsite / record or statement of owner</v>
      </c>
      <c r="BU133" s="33">
        <f ca="1">OFFSET(Tab.Uncertainty.Levels!$A$1,MATCH(BU$88,Tab.Uncertainty.Levels!$A:$A,0)-1,MATCH(BU$87&amp;"_"&amp;BS133,Tab.Uncertainty.Levels!$1:$1,0)-1)</f>
        <v>0.2</v>
      </c>
      <c r="BV133" s="13">
        <f ca="1">IFERROR(MIN(BU133/AW133,1,(1-AW133)/AW133),0)</f>
        <v>0</v>
      </c>
      <c r="BW133" s="96">
        <f ca="1">ABS(1+(AW133*(1/(1+AN133/100/AP133*AG133)^2-1)))*BJ133*$AG133</f>
        <v>3.2792980368828214E-3</v>
      </c>
      <c r="BX133" s="96">
        <f ca="1">ABS(-AG133+1/(1/AG133+AN133/100/AP133))*BV133*AW133</f>
        <v>0</v>
      </c>
      <c r="BY133" s="96">
        <f ca="1">ABS(-AW133*AP133/((AP133/AG133+AN133/100)^2))*(BO133*AN133/100)</f>
        <v>9.3694229625223106E-3</v>
      </c>
      <c r="BZ133" s="202">
        <f ca="1">ABS(AW133*AN133/100/(1/AG133*AP133+AN133/100)^2)*(BR133*AP133)</f>
        <v>1.756766805472933E-2</v>
      </c>
      <c r="CA133" s="103">
        <f t="shared" ca="1" si="32"/>
        <v>2.0178276515760738E-2</v>
      </c>
      <c r="CB133" s="37">
        <f t="shared" ref="CB133:CB164" ca="1" si="67">BW133/$BB133</f>
        <v>2.5609756097561082E-2</v>
      </c>
      <c r="CC133" s="37">
        <f t="shared" ref="CC133:CC164" ca="1" si="68">BX133/$BB133</f>
        <v>0</v>
      </c>
      <c r="CD133" s="37">
        <f t="shared" ref="CD133:CD164" ca="1" si="69">BY133/$BB133</f>
        <v>7.3170731707317097E-2</v>
      </c>
      <c r="CE133" s="37">
        <f t="shared" ref="CE133:CE164" ca="1" si="70">BZ133/$BB133</f>
        <v>0.13719512195121952</v>
      </c>
      <c r="CF133" s="13">
        <f t="shared" ref="CF133:CF164" ca="1" si="71">SQRT(SUMPRODUCT(CB133:CE133,CB133:CE133))</f>
        <v>0.15758273088498861</v>
      </c>
      <c r="CG133" s="101">
        <f ca="1">AG133</f>
        <v>1.5</v>
      </c>
      <c r="CH133" s="101">
        <f>AW133</f>
        <v>1</v>
      </c>
      <c r="CI133" s="203">
        <f>IF(CH133&gt;0,AN133,0)</f>
        <v>25</v>
      </c>
      <c r="CJ133" s="102">
        <f>IF(AND(CH133&gt;0,CI133&gt;0),AP133,0)</f>
        <v>3.5000000000000003E-2</v>
      </c>
      <c r="CK133" s="102">
        <f ca="1">BB133</f>
        <v>0.12804878048780488</v>
      </c>
      <c r="CL133" s="37">
        <f t="shared" ca="1" si="49"/>
        <v>0.3</v>
      </c>
      <c r="CM133" s="37">
        <f t="shared" ca="1" si="50"/>
        <v>0</v>
      </c>
      <c r="CN133" s="37">
        <f t="shared" ca="1" si="51"/>
        <v>0.08</v>
      </c>
      <c r="CO133" s="37">
        <f t="shared" ca="1" si="52"/>
        <v>0.15</v>
      </c>
      <c r="CP133" s="37">
        <f t="shared" ca="1" si="53"/>
        <v>0.15758273088498861</v>
      </c>
      <c r="CQ133" s="95">
        <f t="shared" ca="1" si="54"/>
        <v>0.44999999999999996</v>
      </c>
      <c r="CR133" s="95">
        <f t="shared" ca="1" si="55"/>
        <v>0</v>
      </c>
      <c r="CS133" s="95">
        <f t="shared" ca="1" si="56"/>
        <v>2</v>
      </c>
      <c r="CT133" s="103">
        <f t="shared" ca="1" si="57"/>
        <v>5.2500000000000003E-3</v>
      </c>
      <c r="CU133" s="95">
        <f t="shared" ca="1" si="58"/>
        <v>2.0178276515760738E-2</v>
      </c>
      <c r="CV133" s="37">
        <f ca="1">$CB133^2/$CF133^2</f>
        <v>2.6411534833580583E-2</v>
      </c>
      <c r="CW133" s="37">
        <f ca="1">$CD133^2/$CF133^2</f>
        <v>0.21560436598841129</v>
      </c>
      <c r="CX133" s="37">
        <f ca="1">$CE133^2/$CF133^2</f>
        <v>0.75798409917800813</v>
      </c>
      <c r="CY133" s="37">
        <f ca="1">$CC133^2/$CF133^2</f>
        <v>0</v>
      </c>
      <c r="DA133" s="98" t="s">
        <v>214</v>
      </c>
      <c r="DB133" s="36">
        <f ca="1">OFFSET($A$1,ROW(DB133)-1,MATCH(DA133,$1:$1,0)-1)</f>
        <v>25</v>
      </c>
      <c r="DC133" s="9">
        <f ca="1">BB133</f>
        <v>0.12804878048780488</v>
      </c>
      <c r="DD133" s="9">
        <f ca="1">$DC133+$CA133</f>
        <v>0.14822705700356562</v>
      </c>
      <c r="DE133" s="9">
        <f ca="1">$DC133-$CA133</f>
        <v>0.10787050397204415</v>
      </c>
      <c r="DF133" s="10">
        <f t="shared" ca="1" si="43"/>
        <v>0.15758273088498859</v>
      </c>
    </row>
    <row r="134" spans="1:110" s="8" customFormat="1" ht="32.4" customHeight="1">
      <c r="A134" s="206" t="s">
        <v>570</v>
      </c>
      <c r="B134" s="208" t="s">
        <v>2342</v>
      </c>
      <c r="C134" s="206" t="str">
        <f t="shared" si="44"/>
        <v>Parameter-Variation: d_Insulation = 30 cm</v>
      </c>
      <c r="D134" s="206"/>
      <c r="E134" s="206" t="s">
        <v>198</v>
      </c>
      <c r="F134" s="206" t="str">
        <f t="shared" si="45"/>
        <v>30 cm</v>
      </c>
      <c r="G134" s="206" t="s">
        <v>2170</v>
      </c>
      <c r="H134" s="206" t="s">
        <v>2171</v>
      </c>
      <c r="I134" s="156" t="s">
        <v>80</v>
      </c>
      <c r="J134" s="156" t="s">
        <v>134</v>
      </c>
      <c r="K134" s="156" t="s">
        <v>155</v>
      </c>
      <c r="L134" s="156" t="s">
        <v>66</v>
      </c>
      <c r="M134" s="156" t="s">
        <v>188</v>
      </c>
      <c r="N134" s="7">
        <v>1925</v>
      </c>
      <c r="O134" s="156">
        <v>1</v>
      </c>
      <c r="P134" s="156">
        <v>0</v>
      </c>
      <c r="Q134" s="156" t="s">
        <v>435</v>
      </c>
      <c r="R134" s="156" t="s">
        <v>58</v>
      </c>
      <c r="S134" s="19">
        <v>30</v>
      </c>
      <c r="T134" s="19">
        <v>1</v>
      </c>
      <c r="U134" s="19">
        <v>2016</v>
      </c>
      <c r="V134" s="19">
        <v>3.5000000000000003E-2</v>
      </c>
      <c r="W134" s="28" t="s">
        <v>59</v>
      </c>
      <c r="X134" s="19" t="e">
        <v>#N/A</v>
      </c>
      <c r="Y134" s="105">
        <f ca="1">IFERROR(OFFSET(Tab.Const.ConstrBorder!$A$1,MATCH(Q134,Tab.Const.ConstrBorder!$A:$A,0)-1,MATCH(Y$87,Tab.Const.ConstrBorder!$1:$1,0)-1),0)</f>
        <v>0</v>
      </c>
      <c r="Z134" s="18">
        <f t="shared" si="27"/>
        <v>1925</v>
      </c>
      <c r="AA134" s="17">
        <f>MATCH(Z134,Tab.Year.Period!$11:$11,1)-3</f>
        <v>3</v>
      </c>
      <c r="AB134" s="17">
        <f>MATCH(AB$88&amp;"."&amp;TEXT(AA134,"00"),Tab.U.Default!$A:$A,0)</f>
        <v>26</v>
      </c>
      <c r="AC134" s="105">
        <f ca="1">OFFSET(Tab.U.Default!$A$1,$AB134-1,MATCH("U_Class_"&amp;IF($J134="TopCeiling","UpperCeiling",$J134)&amp;"_"&amp;AC$87,Tab.U.Default!$1:$1,0)-1)</f>
        <v>1.5</v>
      </c>
      <c r="AD134" s="105">
        <f ca="1">OFFSET(Tab.U.Default!$A$1,$AB134-1,MATCH("U_Class_"&amp;IF($J134="TopCeiling","UpperCeiling",$J134)&amp;"_"&amp;AD$87,Tab.U.Default!$1:$1,0)-1)</f>
        <v>1.5</v>
      </c>
      <c r="AE134" s="105">
        <f ca="1">OFFSET(Tab.U.Default!$A$1,$AB134-1,MATCH("U_Class_"&amp;IF($J134="TopCeiling","UpperCeiling",$J134)&amp;"_"&amp;AE$87,Tab.U.Default!$1:$1,0)-1)</f>
        <v>1.5</v>
      </c>
      <c r="AF134" s="26">
        <f t="shared" ca="1" si="0"/>
        <v>1.5</v>
      </c>
      <c r="AG134" s="26">
        <f t="shared" ca="1" si="48"/>
        <v>1.5</v>
      </c>
      <c r="AH134" s="18" t="str">
        <f t="shared" si="59"/>
        <v>Refurbish</v>
      </c>
      <c r="AI134" s="18" t="str">
        <f t="shared" si="28"/>
        <v>Add</v>
      </c>
      <c r="AJ134" s="18">
        <f t="shared" si="3"/>
        <v>2016</v>
      </c>
      <c r="AK134" s="17">
        <f>MATCH(AJ134,Tab.Year.Period!$11:$11,1)-3</f>
        <v>12</v>
      </c>
      <c r="AL134" s="17">
        <f>MATCH(AL$88&amp;"."&amp;TEXT(AK134,"00"),Tab.Insulation.Default!$A:$A,0)</f>
        <v>23</v>
      </c>
      <c r="AM134" s="20" t="e">
        <f ca="1">IF(ISNA(IF(S134="",#N/A,S134)),OFFSET(Tab.Insulation.Default!$A$1,$AL134-1,MATCH(AM$87&amp;"_"&amp;$K134,Tab.Insulation.Default!$1:$1,0)-1),#N/A)</f>
        <v>#N/A</v>
      </c>
      <c r="AN134" s="27">
        <f t="shared" si="29"/>
        <v>30</v>
      </c>
      <c r="AO134" s="22" t="e">
        <f ca="1">IF(ISNA(IF(V134="",#N/A,V134)),OFFSET(Tab.Insulation.Default!$A$1,$AL134-1,MATCH(AO$87&amp;"_"&amp;$K134,Tab.Insulation.Default!$1:$1,0)-1),#N/A)</f>
        <v>#N/A</v>
      </c>
      <c r="AP134" s="23">
        <f t="shared" si="30"/>
        <v>3.5000000000000003E-2</v>
      </c>
      <c r="AQ134" s="29" t="str">
        <f t="shared" si="60"/>
        <v>Gen.Refurbished.12</v>
      </c>
      <c r="AR134" s="17">
        <f>MATCH(AR$88&amp;"."&amp;AQ134,Tab.Measure.f.Default!$A:$A,0)</f>
        <v>23</v>
      </c>
      <c r="AS134" s="21">
        <f ca="1">OFFSET(Tab.Measure.f.Default!$A$1,AR134-1,MATCH(AS$87&amp;"_"&amp;$J134,Tab.Measure.f.Default!$1:$1,0)-1)</f>
        <v>0.75</v>
      </c>
      <c r="AT134" s="29" t="str">
        <f t="shared" si="61"/>
        <v>MUH.NA.03</v>
      </c>
      <c r="AU134" s="17">
        <f>MATCH(AU$88&amp;"."&amp;AT134,Tab.Measure.f.Default!$A:$A,0)</f>
        <v>38</v>
      </c>
      <c r="AV134" s="21">
        <f ca="1">OFFSET(Tab.Measure.f.Default!$A$1,AU134-1,MATCH(AV$87&amp;"_"&amp;$J134,Tab.Measure.f.Default!$1:$1,0)-1)</f>
        <v>0.37</v>
      </c>
      <c r="AW134" s="30">
        <f t="shared" si="33"/>
        <v>1</v>
      </c>
      <c r="AX134" s="9">
        <f t="shared" ca="1" si="62"/>
        <v>0.66666666666666663</v>
      </c>
      <c r="AY134" s="9">
        <f t="shared" si="63"/>
        <v>8.5714285714285712</v>
      </c>
      <c r="AZ134" s="9">
        <f t="shared" ca="1" si="46"/>
        <v>9.2380952380952372</v>
      </c>
      <c r="BA134" s="9">
        <f t="shared" ca="1" si="47"/>
        <v>0.10824742268041238</v>
      </c>
      <c r="BB134" s="9">
        <f t="shared" ca="1" si="64"/>
        <v>0.10824742268041238</v>
      </c>
      <c r="BC134" s="32" t="str">
        <f t="shared" si="65"/>
        <v>D</v>
      </c>
      <c r="BD134" s="20" t="str">
        <f ca="1">OFFSET(Tab.Uncertainty.Levels!$A$1,MATCH(BD$88,Tab.Uncertainty.Levels!$A:$A,0)-1,MATCH(BD$87&amp;"_"&amp;BC134,Tab.Uncertainty.Levels!$1:$1,0)-1)</f>
        <v>Use of default values; building constructed until 1983</v>
      </c>
      <c r="BE134" s="24">
        <f ca="1">OFFSET(Tab.Uncertainty.Levels!$A$1,MATCH(BE$88,Tab.Uncertainty.Levels!$A:$A,0)-1,MATCH(BE$87&amp;"_"&amp;BC134,Tab.Uncertainty.Levels!$1:$1,0)-1)</f>
        <v>0.3</v>
      </c>
      <c r="BF134" s="32" t="str">
        <f t="shared" si="66"/>
        <v>-</v>
      </c>
      <c r="BG134" s="20" t="e">
        <f ca="1">OFFSET(Tab.Uncertainty.Levels!$A$1,MATCH(BG$88,Tab.Uncertainty.Levels!$A:$A,0)-1,MATCH(BG$87&amp;"_"&amp;BF134,Tab.Uncertainty.Levels!$1:$1,0)-1)</f>
        <v>#N/A</v>
      </c>
      <c r="BH134" s="24" t="e">
        <f ca="1">OFFSET(Tab.Uncertainty.Levels!$A$1,MATCH(BH$88,Tab.Uncertainty.Levels!$A:$A,0)-1,MATCH(BH$87&amp;"_"&amp;BF134,Tab.Uncertainty.Levels!$1:$1,0)-1)</f>
        <v>#N/A</v>
      </c>
      <c r="BI134" s="32" t="str">
        <f t="shared" si="31"/>
        <v>D</v>
      </c>
      <c r="BJ134" s="13">
        <f ca="1">IF(BF134="-",BE134,BH134)</f>
        <v>0.3</v>
      </c>
      <c r="BK134" s="32" t="str">
        <f>IF(OR($L134="NoDataSource",IFERROR(IF($S134="",#N/A,$S134),0)=0),IF(IFERROR(IF(U134="",#N/A,U134),0)=0,"E","D"),IF($L134="DesignDataPlusQA","A",IF($L134="DesignData","B","C")))</f>
        <v>C</v>
      </c>
      <c r="BL134" s="20" t="str">
        <f ca="1">OFFSET(Tab.Uncertainty.Levels!$A$1,MATCH(BL$88,Tab.Uncertainty.Levels!$A:$A,0)-1,MATCH(BL$87&amp;"_"&amp;BK134,Tab.Uncertainty.Levels!$1:$1,0)-1)</f>
        <v>Insulation thickness determined by inspection onsite / record or statement of owner</v>
      </c>
      <c r="BM134" s="24">
        <f ca="1">OFFSET(Tab.Uncertainty.Levels!$A$1,MATCH(BM$88,Tab.Uncertainty.Levels!$A:$A,0)-1,MATCH(BM$87&amp;"_"&amp;BK134,Tab.Uncertainty.Levels!$1:$1,0)-1)</f>
        <v>0.25</v>
      </c>
      <c r="BN134" s="34">
        <f ca="1">OFFSET(Tab.Uncertainty.Levels!$A$1,MATCH(BN$88,Tab.Uncertainty.Levels!$A:$A,0)-1,MATCH(BN$87&amp;"_"&amp;BK134,Tab.Uncertainty.Levels!$1:$1,0)-1)</f>
        <v>2</v>
      </c>
      <c r="BO134" s="13">
        <f ca="1">IFERROR(MIN(BM134,BN134/AN134),0)</f>
        <v>6.6666666666666666E-2</v>
      </c>
      <c r="BP134" s="32" t="str">
        <f>IF(OR($L134="NoDataSource",IFERROR(IF($V134="",#N/A,$V134),0)=0),IF(IFERROR(IF(U134="",#N/A,U134),0)=0,"E","D"),IF($L134="DesignDataPlusQA","A",IF($L134="DesignData","B","C")))</f>
        <v>C</v>
      </c>
      <c r="BQ134" s="20" t="str">
        <f ca="1">OFFSET(Tab.Uncertainty.Levels!$A$1,MATCH(BQ$88,Tab.Uncertainty.Levels!$A:$A,0)-1,MATCH(BQ$87&amp;"_"&amp;BP134,Tab.Uncertainty.Levels!$1:$1,0)-1)</f>
        <v>Thermal conductivity of Insulation determined by inspection onsite / record or statement of owner</v>
      </c>
      <c r="BR134" s="97">
        <f ca="1">OFFSET(Tab.Uncertainty.Levels!$A$1,MATCH(BR$88,Tab.Uncertainty.Levels!$A:$A,0)-1,MATCH(BR$87&amp;"_"&amp;BP134,Tab.Uncertainty.Levels!$1:$1,0)-1)</f>
        <v>0.15</v>
      </c>
      <c r="BS134" s="32" t="str">
        <f>IF(L134="NoDataSource","D",IF(IFERROR(IF($T134="",#N/A,$T134),0)=0,IF(OR(IFERROR(IF($S134="",#N/A,$S134),0)&gt;0,$R134="Refurbish"),"D","E"),IF($L134="DesignDataPlusQA","A",IF($L134="DesignData","B","C"))))</f>
        <v>C</v>
      </c>
      <c r="BT134" s="20" t="str">
        <f ca="1">OFFSET(Tab.Uncertainty.Levels!$A$1,MATCH(BT$88,Tab.Uncertainty.Levels!$A:$A,0)-1,MATCH(BT$87&amp;"_"&amp;BS134,Tab.Uncertainty.Levels!$1:$1,0)-1)</f>
        <v>Insulation fraction determined by inspection onsite / record or statement of owner</v>
      </c>
      <c r="BU134" s="33">
        <f ca="1">OFFSET(Tab.Uncertainty.Levels!$A$1,MATCH(BU$88,Tab.Uncertainty.Levels!$A:$A,0)-1,MATCH(BU$87&amp;"_"&amp;BS134,Tab.Uncertainty.Levels!$1:$1,0)-1)</f>
        <v>0.2</v>
      </c>
      <c r="BV134" s="13">
        <f ca="1">IFERROR(MIN(BU134/AW134,1,(1-AW134)/AW134),0)</f>
        <v>0</v>
      </c>
      <c r="BW134" s="96">
        <f ca="1">ABS(1+(AW134*(1/(1+AN134/100/AP134*AG134)^2-1)))*BJ134*$AG134</f>
        <v>2.3435009033903774E-3</v>
      </c>
      <c r="BX134" s="96">
        <f ca="1">ABS(-AG134+1/(1/AG134+AN134/100/AP134))*BV134*AW134</f>
        <v>0</v>
      </c>
      <c r="BY134" s="96">
        <f ca="1">ABS(-AW134*AP134/((AP134/AG134+AN134/100)^2))*(BO134*AN134/100)</f>
        <v>6.6957168668296332E-3</v>
      </c>
      <c r="BZ134" s="202">
        <f ca="1">ABS(AW134*AN134/100/(1/AG134*AP134+AN134/100)^2)*(BR134*AP134)</f>
        <v>1.5065362950366673E-2</v>
      </c>
      <c r="CA134" s="103">
        <f t="shared" ca="1" si="32"/>
        <v>1.665202034803042E-2</v>
      </c>
      <c r="CB134" s="37">
        <f t="shared" ca="1" si="67"/>
        <v>2.1649484536082533E-2</v>
      </c>
      <c r="CC134" s="37">
        <f t="shared" ca="1" si="68"/>
        <v>0</v>
      </c>
      <c r="CD134" s="37">
        <f t="shared" ca="1" si="69"/>
        <v>6.18556701030928E-2</v>
      </c>
      <c r="CE134" s="37">
        <f t="shared" ca="1" si="70"/>
        <v>0.1391752577319588</v>
      </c>
      <c r="CF134" s="13">
        <f t="shared" ca="1" si="71"/>
        <v>0.15383294988180485</v>
      </c>
      <c r="CG134" s="101">
        <f ca="1">AG134</f>
        <v>1.5</v>
      </c>
      <c r="CH134" s="101">
        <f>AW134</f>
        <v>1</v>
      </c>
      <c r="CI134" s="203">
        <f>IF(CH134&gt;0,AN134,0)</f>
        <v>30</v>
      </c>
      <c r="CJ134" s="102">
        <f>IF(AND(CH134&gt;0,CI134&gt;0),AP134,0)</f>
        <v>3.5000000000000003E-2</v>
      </c>
      <c r="CK134" s="102">
        <f ca="1">BB134</f>
        <v>0.10824742268041238</v>
      </c>
      <c r="CL134" s="37">
        <f t="shared" ca="1" si="49"/>
        <v>0.3</v>
      </c>
      <c r="CM134" s="37">
        <f t="shared" ca="1" si="50"/>
        <v>0</v>
      </c>
      <c r="CN134" s="37">
        <f t="shared" ca="1" si="51"/>
        <v>6.6666666666666666E-2</v>
      </c>
      <c r="CO134" s="37">
        <f t="shared" ca="1" si="52"/>
        <v>0.15</v>
      </c>
      <c r="CP134" s="37">
        <f t="shared" ca="1" si="53"/>
        <v>0.15383294988180485</v>
      </c>
      <c r="CQ134" s="95">
        <f t="shared" ca="1" si="54"/>
        <v>0.44999999999999996</v>
      </c>
      <c r="CR134" s="95">
        <f t="shared" ca="1" si="55"/>
        <v>0</v>
      </c>
      <c r="CS134" s="95">
        <f t="shared" ca="1" si="56"/>
        <v>2</v>
      </c>
      <c r="CT134" s="103">
        <f t="shared" ca="1" si="57"/>
        <v>5.2500000000000003E-3</v>
      </c>
      <c r="CU134" s="95">
        <f t="shared" ca="1" si="58"/>
        <v>1.6652020348030424E-2</v>
      </c>
      <c r="CV134" s="37">
        <f ca="1">$CB134^2/$CF134^2</f>
        <v>1.9805982215036474E-2</v>
      </c>
      <c r="CW134" s="37">
        <f ca="1">$CD134^2/$CF134^2</f>
        <v>0.16168148746968472</v>
      </c>
      <c r="CX134" s="37">
        <f ca="1">$CE134^2/$CF134^2</f>
        <v>0.81851253031527882</v>
      </c>
      <c r="CY134" s="37">
        <f ca="1">$CC134^2/$CF134^2</f>
        <v>0</v>
      </c>
      <c r="DA134" s="98" t="s">
        <v>214</v>
      </c>
      <c r="DB134" s="36">
        <f ca="1">OFFSET($A$1,ROW(DB134)-1,MATCH(DA134,$1:$1,0)-1)</f>
        <v>30</v>
      </c>
      <c r="DC134" s="9">
        <f ca="1">BB134</f>
        <v>0.10824742268041238</v>
      </c>
      <c r="DD134" s="9">
        <f ca="1">$DC134+$CA134</f>
        <v>0.1248994430284428</v>
      </c>
      <c r="DE134" s="9">
        <f ca="1">$DC134-$CA134</f>
        <v>9.1595402332381948E-2</v>
      </c>
      <c r="DF134" s="10">
        <f t="shared" ca="1" si="43"/>
        <v>0.1538329498818049</v>
      </c>
    </row>
    <row r="135" spans="1:110" s="8" customFormat="1" ht="32.4" customHeight="1">
      <c r="A135" s="206" t="s">
        <v>571</v>
      </c>
      <c r="B135" s="208" t="s">
        <v>2342</v>
      </c>
      <c r="C135" s="206" t="str">
        <f t="shared" ref="C135" si="72">E135&amp;" = "&amp;F135</f>
        <v>Parameter-Variation: d_Insulation = 35 cm</v>
      </c>
      <c r="D135" s="206"/>
      <c r="E135" s="206" t="s">
        <v>198</v>
      </c>
      <c r="F135" s="206" t="str">
        <f t="shared" ref="F135" si="73">S135&amp;" cm"</f>
        <v>35 cm</v>
      </c>
      <c r="G135" s="206" t="s">
        <v>2170</v>
      </c>
      <c r="H135" s="206" t="s">
        <v>2171</v>
      </c>
      <c r="I135" s="156" t="s">
        <v>80</v>
      </c>
      <c r="J135" s="156" t="s">
        <v>134</v>
      </c>
      <c r="K135" s="156" t="s">
        <v>155</v>
      </c>
      <c r="L135" s="156" t="s">
        <v>66</v>
      </c>
      <c r="M135" s="156" t="s">
        <v>188</v>
      </c>
      <c r="N135" s="7">
        <v>1925</v>
      </c>
      <c r="O135" s="156">
        <v>1</v>
      </c>
      <c r="P135" s="156">
        <v>0</v>
      </c>
      <c r="Q135" s="156" t="s">
        <v>435</v>
      </c>
      <c r="R135" s="156" t="s">
        <v>58</v>
      </c>
      <c r="S135" s="19">
        <v>35</v>
      </c>
      <c r="T135" s="19">
        <v>1</v>
      </c>
      <c r="U135" s="19">
        <v>2016</v>
      </c>
      <c r="V135" s="19">
        <v>3.5000000000000003E-2</v>
      </c>
      <c r="W135" s="28" t="s">
        <v>59</v>
      </c>
      <c r="X135" s="19" t="e">
        <v>#N/A</v>
      </c>
      <c r="Y135" s="105">
        <f ca="1">IFERROR(OFFSET(Tab.Const.ConstrBorder!$A$1,MATCH(Q135,Tab.Const.ConstrBorder!$A:$A,0)-1,MATCH(Y$87,Tab.Const.ConstrBorder!$1:$1,0)-1),0)</f>
        <v>0</v>
      </c>
      <c r="Z135" s="18">
        <f t="shared" si="27"/>
        <v>1925</v>
      </c>
      <c r="AA135" s="17">
        <f>MATCH(Z135,Tab.Year.Period!$11:$11,1)-3</f>
        <v>3</v>
      </c>
      <c r="AB135" s="17">
        <f>MATCH(AB$88&amp;"."&amp;TEXT(AA135,"00"),Tab.U.Default!$A:$A,0)</f>
        <v>26</v>
      </c>
      <c r="AC135" s="105">
        <f ca="1">OFFSET(Tab.U.Default!$A$1,$AB135-1,MATCH("U_Class_"&amp;IF($J135="TopCeiling","UpperCeiling",$J135)&amp;"_"&amp;AC$87,Tab.U.Default!$1:$1,0)-1)</f>
        <v>1.5</v>
      </c>
      <c r="AD135" s="105">
        <f ca="1">OFFSET(Tab.U.Default!$A$1,$AB135-1,MATCH("U_Class_"&amp;IF($J135="TopCeiling","UpperCeiling",$J135)&amp;"_"&amp;AD$87,Tab.U.Default!$1:$1,0)-1)</f>
        <v>1.5</v>
      </c>
      <c r="AE135" s="105">
        <f ca="1">OFFSET(Tab.U.Default!$A$1,$AB135-1,MATCH("U_Class_"&amp;IF($J135="TopCeiling","UpperCeiling",$J135)&amp;"_"&amp;AE$87,Tab.U.Default!$1:$1,0)-1)</f>
        <v>1.5</v>
      </c>
      <c r="AF135" s="26">
        <f t="shared" ca="1" si="0"/>
        <v>1.5</v>
      </c>
      <c r="AG135" s="26">
        <f t="shared" ca="1" si="48"/>
        <v>1.5</v>
      </c>
      <c r="AH135" s="18" t="str">
        <f t="shared" si="59"/>
        <v>Refurbish</v>
      </c>
      <c r="AI135" s="18" t="str">
        <f t="shared" si="28"/>
        <v>Add</v>
      </c>
      <c r="AJ135" s="18">
        <f t="shared" si="3"/>
        <v>2016</v>
      </c>
      <c r="AK135" s="17">
        <f>MATCH(AJ135,Tab.Year.Period!$11:$11,1)-3</f>
        <v>12</v>
      </c>
      <c r="AL135" s="17">
        <f>MATCH(AL$88&amp;"."&amp;TEXT(AK135,"00"),Tab.Insulation.Default!$A:$A,0)</f>
        <v>23</v>
      </c>
      <c r="AM135" s="20" t="e">
        <f ca="1">IF(ISNA(IF(S135="",#N/A,S135)),OFFSET(Tab.Insulation.Default!$A$1,$AL135-1,MATCH(AM$87&amp;"_"&amp;$K135,Tab.Insulation.Default!$1:$1,0)-1),#N/A)</f>
        <v>#N/A</v>
      </c>
      <c r="AN135" s="27">
        <f t="shared" si="29"/>
        <v>35</v>
      </c>
      <c r="AO135" s="22" t="e">
        <f ca="1">IF(ISNA(IF(V135="",#N/A,V135)),OFFSET(Tab.Insulation.Default!$A$1,$AL135-1,MATCH(AO$87&amp;"_"&amp;$K135,Tab.Insulation.Default!$1:$1,0)-1),#N/A)</f>
        <v>#N/A</v>
      </c>
      <c r="AP135" s="23">
        <f t="shared" si="30"/>
        <v>3.5000000000000003E-2</v>
      </c>
      <c r="AQ135" s="29" t="str">
        <f t="shared" si="60"/>
        <v>Gen.Refurbished.12</v>
      </c>
      <c r="AR135" s="17">
        <f>MATCH(AR$88&amp;"."&amp;AQ135,Tab.Measure.f.Default!$A:$A,0)</f>
        <v>23</v>
      </c>
      <c r="AS135" s="21">
        <f ca="1">OFFSET(Tab.Measure.f.Default!$A$1,AR135-1,MATCH(AS$87&amp;"_"&amp;$J135,Tab.Measure.f.Default!$1:$1,0)-1)</f>
        <v>0.75</v>
      </c>
      <c r="AT135" s="29" t="str">
        <f t="shared" si="61"/>
        <v>MUH.NA.03</v>
      </c>
      <c r="AU135" s="17">
        <f>MATCH(AU$88&amp;"."&amp;AT135,Tab.Measure.f.Default!$A:$A,0)</f>
        <v>38</v>
      </c>
      <c r="AV135" s="21">
        <f ca="1">OFFSET(Tab.Measure.f.Default!$A$1,AU135-1,MATCH(AV$87&amp;"_"&amp;$J135,Tab.Measure.f.Default!$1:$1,0)-1)</f>
        <v>0.37</v>
      </c>
      <c r="AW135" s="30">
        <f t="shared" si="33"/>
        <v>1</v>
      </c>
      <c r="AX135" s="9">
        <f t="shared" ca="1" si="62"/>
        <v>0.66666666666666663</v>
      </c>
      <c r="AY135" s="9">
        <f t="shared" si="63"/>
        <v>9.9999999999999982</v>
      </c>
      <c r="AZ135" s="9">
        <f t="shared" ref="AZ135" ca="1" si="74">AX135+AY135</f>
        <v>10.666666666666664</v>
      </c>
      <c r="BA135" s="9">
        <f t="shared" ref="BA135" ca="1" si="75">1/AZ135</f>
        <v>9.3750000000000028E-2</v>
      </c>
      <c r="BB135" s="9">
        <f t="shared" ca="1" si="64"/>
        <v>9.3750000000000028E-2</v>
      </c>
      <c r="BC135" s="32" t="str">
        <f t="shared" si="65"/>
        <v>D</v>
      </c>
      <c r="BD135" s="20" t="str">
        <f ca="1">OFFSET(Tab.Uncertainty.Levels!$A$1,MATCH(BD$88,Tab.Uncertainty.Levels!$A:$A,0)-1,MATCH(BD$87&amp;"_"&amp;BC135,Tab.Uncertainty.Levels!$1:$1,0)-1)</f>
        <v>Use of default values; building constructed until 1983</v>
      </c>
      <c r="BE135" s="24">
        <f ca="1">OFFSET(Tab.Uncertainty.Levels!$A$1,MATCH(BE$88,Tab.Uncertainty.Levels!$A:$A,0)-1,MATCH(BE$87&amp;"_"&amp;BC135,Tab.Uncertainty.Levels!$1:$1,0)-1)</f>
        <v>0.3</v>
      </c>
      <c r="BF135" s="32" t="str">
        <f t="shared" si="66"/>
        <v>-</v>
      </c>
      <c r="BG135" s="20" t="e">
        <f ca="1">OFFSET(Tab.Uncertainty.Levels!$A$1,MATCH(BG$88,Tab.Uncertainty.Levels!$A:$A,0)-1,MATCH(BG$87&amp;"_"&amp;BF135,Tab.Uncertainty.Levels!$1:$1,0)-1)</f>
        <v>#N/A</v>
      </c>
      <c r="BH135" s="24" t="e">
        <f ca="1">OFFSET(Tab.Uncertainty.Levels!$A$1,MATCH(BH$88,Tab.Uncertainty.Levels!$A:$A,0)-1,MATCH(BH$87&amp;"_"&amp;BF135,Tab.Uncertainty.Levels!$1:$1,0)-1)</f>
        <v>#N/A</v>
      </c>
      <c r="BI135" s="32" t="str">
        <f t="shared" si="31"/>
        <v>D</v>
      </c>
      <c r="BJ135" s="13">
        <f ca="1">IF(BF135="-",BE135,BH135)</f>
        <v>0.3</v>
      </c>
      <c r="BK135" s="32" t="str">
        <f>IF(OR($L135="NoDataSource",IFERROR(IF($S135="",#N/A,$S135),0)=0),IF(IFERROR(IF(U135="",#N/A,U135),0)=0,"E","D"),IF($L135="DesignDataPlusQA","A",IF($L135="DesignData","B","C")))</f>
        <v>C</v>
      </c>
      <c r="BL135" s="20" t="str">
        <f ca="1">OFFSET(Tab.Uncertainty.Levels!$A$1,MATCH(BL$88,Tab.Uncertainty.Levels!$A:$A,0)-1,MATCH(BL$87&amp;"_"&amp;BK135,Tab.Uncertainty.Levels!$1:$1,0)-1)</f>
        <v>Insulation thickness determined by inspection onsite / record or statement of owner</v>
      </c>
      <c r="BM135" s="24">
        <f ca="1">OFFSET(Tab.Uncertainty.Levels!$A$1,MATCH(BM$88,Tab.Uncertainty.Levels!$A:$A,0)-1,MATCH(BM$87&amp;"_"&amp;BK135,Tab.Uncertainty.Levels!$1:$1,0)-1)</f>
        <v>0.25</v>
      </c>
      <c r="BN135" s="34">
        <f ca="1">OFFSET(Tab.Uncertainty.Levels!$A$1,MATCH(BN$88,Tab.Uncertainty.Levels!$A:$A,0)-1,MATCH(BN$87&amp;"_"&amp;BK135,Tab.Uncertainty.Levels!$1:$1,0)-1)</f>
        <v>2</v>
      </c>
      <c r="BO135" s="13">
        <f ca="1">IFERROR(MIN(BM135,BN135/AN135),0)</f>
        <v>5.7142857142857141E-2</v>
      </c>
      <c r="BP135" s="32" t="str">
        <f>IF(OR($L135="NoDataSource",IFERROR(IF($V135="",#N/A,$V135),0)=0),IF(IFERROR(IF(U135="",#N/A,U135),0)=0,"E","D"),IF($L135="DesignDataPlusQA","A",IF($L135="DesignData","B","C")))</f>
        <v>C</v>
      </c>
      <c r="BQ135" s="20" t="str">
        <f ca="1">OFFSET(Tab.Uncertainty.Levels!$A$1,MATCH(BQ$88,Tab.Uncertainty.Levels!$A:$A,0)-1,MATCH(BQ$87&amp;"_"&amp;BP135,Tab.Uncertainty.Levels!$1:$1,0)-1)</f>
        <v>Thermal conductivity of Insulation determined by inspection onsite / record or statement of owner</v>
      </c>
      <c r="BR135" s="97">
        <f ca="1">OFFSET(Tab.Uncertainty.Levels!$A$1,MATCH(BR$88,Tab.Uncertainty.Levels!$A:$A,0)-1,MATCH(BR$87&amp;"_"&amp;BP135,Tab.Uncertainty.Levels!$1:$1,0)-1)</f>
        <v>0.15</v>
      </c>
      <c r="BS135" s="32" t="str">
        <f>IF(L135="NoDataSource","D",IF(IFERROR(IF($T135="",#N/A,$T135),0)=0,IF(OR(IFERROR(IF($S135="",#N/A,$S135),0)&gt;0,$R135="Refurbish"),"D","E"),IF($L135="DesignDataPlusQA","A",IF($L135="DesignData","B","C"))))</f>
        <v>C</v>
      </c>
      <c r="BT135" s="20" t="str">
        <f ca="1">OFFSET(Tab.Uncertainty.Levels!$A$1,MATCH(BT$88,Tab.Uncertainty.Levels!$A:$A,0)-1,MATCH(BT$87&amp;"_"&amp;BS135,Tab.Uncertainty.Levels!$1:$1,0)-1)</f>
        <v>Insulation fraction determined by inspection onsite / record or statement of owner</v>
      </c>
      <c r="BU135" s="33">
        <f ca="1">OFFSET(Tab.Uncertainty.Levels!$A$1,MATCH(BU$88,Tab.Uncertainty.Levels!$A:$A,0)-1,MATCH(BU$87&amp;"_"&amp;BS135,Tab.Uncertainty.Levels!$1:$1,0)-1)</f>
        <v>0.2</v>
      </c>
      <c r="BV135" s="13">
        <f ca="1">IFERROR(MIN(BU135/AW135,1,(1-AW135)/AW135),0)</f>
        <v>0</v>
      </c>
      <c r="BW135" s="96">
        <f ca="1">ABS(1+(AW135*(1/(1+AN135/100/AP135*AG135)^2-1)))*BJ135*$AG135</f>
        <v>1.7578124999999998E-3</v>
      </c>
      <c r="BX135" s="96">
        <f ca="1">ABS(-AG135+1/(1/AG135+AN135/100/AP135))*BV135*AW135</f>
        <v>0</v>
      </c>
      <c r="BY135" s="96">
        <f ca="1">ABS(-AW135*AP135/((AP135/AG135+AN135/100)^2))*(BO135*AN135/100)</f>
        <v>5.0223214285714307E-3</v>
      </c>
      <c r="BZ135" s="202">
        <f ca="1">ABS(AW135*AN135/100/(1/AG135*AP135+AN135/100)^2)*(BR135*AP135)</f>
        <v>1.3183593750000003E-2</v>
      </c>
      <c r="CA135" s="103">
        <f t="shared" ca="1" si="32"/>
        <v>1.4216918142905767E-2</v>
      </c>
      <c r="CB135" s="37">
        <f t="shared" ca="1" si="67"/>
        <v>1.8749999999999992E-2</v>
      </c>
      <c r="CC135" s="37">
        <f t="shared" ca="1" si="68"/>
        <v>0</v>
      </c>
      <c r="CD135" s="37">
        <f t="shared" ca="1" si="69"/>
        <v>5.3571428571428575E-2</v>
      </c>
      <c r="CE135" s="37">
        <f t="shared" ca="1" si="70"/>
        <v>0.140625</v>
      </c>
      <c r="CF135" s="13">
        <f t="shared" ca="1" si="71"/>
        <v>0.15164712685766146</v>
      </c>
      <c r="CG135" s="101">
        <f ca="1">AG135</f>
        <v>1.5</v>
      </c>
      <c r="CH135" s="101">
        <f>AW135</f>
        <v>1</v>
      </c>
      <c r="CI135" s="203">
        <f>IF(CH135&gt;0,AN135,0)</f>
        <v>35</v>
      </c>
      <c r="CJ135" s="102">
        <f>IF(AND(CH135&gt;0,CI135&gt;0),AP135,0)</f>
        <v>3.5000000000000003E-2</v>
      </c>
      <c r="CK135" s="102">
        <f ca="1">BB135</f>
        <v>9.3750000000000028E-2</v>
      </c>
      <c r="CL135" s="37">
        <f t="shared" ca="1" si="49"/>
        <v>0.3</v>
      </c>
      <c r="CM135" s="37">
        <f t="shared" ca="1" si="50"/>
        <v>0</v>
      </c>
      <c r="CN135" s="37">
        <f t="shared" ca="1" si="51"/>
        <v>5.7142857142857141E-2</v>
      </c>
      <c r="CO135" s="37">
        <f t="shared" ca="1" si="52"/>
        <v>0.15</v>
      </c>
      <c r="CP135" s="37">
        <f t="shared" ca="1" si="53"/>
        <v>0.15164712685766146</v>
      </c>
      <c r="CQ135" s="95">
        <f t="shared" ca="1" si="54"/>
        <v>0.44999999999999996</v>
      </c>
      <c r="CR135" s="95">
        <f t="shared" ca="1" si="55"/>
        <v>0</v>
      </c>
      <c r="CS135" s="95">
        <f t="shared" ca="1" si="56"/>
        <v>2</v>
      </c>
      <c r="CT135" s="103">
        <f t="shared" ca="1" si="57"/>
        <v>5.2500000000000003E-3</v>
      </c>
      <c r="CU135" s="95">
        <f t="shared" ca="1" si="58"/>
        <v>1.4216918142905766E-2</v>
      </c>
      <c r="CV135" s="37">
        <f ca="1">$CB135^2/$CF135^2</f>
        <v>1.5287419078075024E-2</v>
      </c>
      <c r="CW135" s="37">
        <f ca="1">$CD135^2/$CF135^2</f>
        <v>0.12479525778020441</v>
      </c>
      <c r="CX135" s="37">
        <f ca="1">$CE135^2/$CF135^2</f>
        <v>0.85991732314172076</v>
      </c>
      <c r="CY135" s="37">
        <f ca="1">$CC135^2/$CF135^2</f>
        <v>0</v>
      </c>
      <c r="DA135" s="98" t="s">
        <v>214</v>
      </c>
      <c r="DB135" s="36">
        <f ca="1">OFFSET($A$1,ROW(DB135)-1,MATCH(DA135,$1:$1,0)-1)</f>
        <v>35</v>
      </c>
      <c r="DC135" s="9">
        <f ca="1">BB135</f>
        <v>9.3750000000000028E-2</v>
      </c>
      <c r="DD135" s="9">
        <f ca="1">$DC135+$CA135</f>
        <v>0.10796691814290579</v>
      </c>
      <c r="DE135" s="9">
        <f ca="1">$DC135-$CA135</f>
        <v>7.9533081857094262E-2</v>
      </c>
      <c r="DF135" s="10">
        <f ca="1">0.5*(DD135-DE135)/DC135</f>
        <v>0.15164712685766146</v>
      </c>
    </row>
    <row r="136" spans="1:110" s="8" customFormat="1" ht="32.4" customHeight="1">
      <c r="A136" s="206" t="s">
        <v>572</v>
      </c>
      <c r="B136" s="208" t="s">
        <v>2342</v>
      </c>
      <c r="C136" s="206" t="str">
        <f t="shared" si="44"/>
        <v>Parameter-Variation: d_Insulation = 40 cm</v>
      </c>
      <c r="D136" s="206"/>
      <c r="E136" s="206" t="s">
        <v>198</v>
      </c>
      <c r="F136" s="206" t="str">
        <f t="shared" si="45"/>
        <v>40 cm</v>
      </c>
      <c r="G136" s="206" t="s">
        <v>2170</v>
      </c>
      <c r="H136" s="206" t="s">
        <v>2171</v>
      </c>
      <c r="I136" s="156" t="s">
        <v>80</v>
      </c>
      <c r="J136" s="156" t="s">
        <v>134</v>
      </c>
      <c r="K136" s="156" t="s">
        <v>155</v>
      </c>
      <c r="L136" s="156" t="s">
        <v>66</v>
      </c>
      <c r="M136" s="156" t="s">
        <v>188</v>
      </c>
      <c r="N136" s="7">
        <v>1925</v>
      </c>
      <c r="O136" s="156">
        <v>1</v>
      </c>
      <c r="P136" s="156">
        <v>0</v>
      </c>
      <c r="Q136" s="156" t="s">
        <v>435</v>
      </c>
      <c r="R136" s="156" t="s">
        <v>58</v>
      </c>
      <c r="S136" s="19">
        <v>40</v>
      </c>
      <c r="T136" s="19">
        <v>1</v>
      </c>
      <c r="U136" s="19">
        <v>2016</v>
      </c>
      <c r="V136" s="19">
        <v>3.5000000000000003E-2</v>
      </c>
      <c r="W136" s="28" t="s">
        <v>59</v>
      </c>
      <c r="X136" s="19" t="e">
        <v>#N/A</v>
      </c>
      <c r="Y136" s="105">
        <f ca="1">IFERROR(OFFSET(Tab.Const.ConstrBorder!$A$1,MATCH(Q136,Tab.Const.ConstrBorder!$A:$A,0)-1,MATCH(Y$87,Tab.Const.ConstrBorder!$1:$1,0)-1),0)</f>
        <v>0</v>
      </c>
      <c r="Z136" s="18">
        <f t="shared" si="27"/>
        <v>1925</v>
      </c>
      <c r="AA136" s="17">
        <f>MATCH(Z136,Tab.Year.Period!$11:$11,1)-3</f>
        <v>3</v>
      </c>
      <c r="AB136" s="17">
        <f>MATCH(AB$88&amp;"."&amp;TEXT(AA136,"00"),Tab.U.Default!$A:$A,0)</f>
        <v>26</v>
      </c>
      <c r="AC136" s="105">
        <f ca="1">OFFSET(Tab.U.Default!$A$1,$AB136-1,MATCH("U_Class_"&amp;IF($J136="TopCeiling","UpperCeiling",$J136)&amp;"_"&amp;AC$87,Tab.U.Default!$1:$1,0)-1)</f>
        <v>1.5</v>
      </c>
      <c r="AD136" s="105">
        <f ca="1">OFFSET(Tab.U.Default!$A$1,$AB136-1,MATCH("U_Class_"&amp;IF($J136="TopCeiling","UpperCeiling",$J136)&amp;"_"&amp;AD$87,Tab.U.Default!$1:$1,0)-1)</f>
        <v>1.5</v>
      </c>
      <c r="AE136" s="105">
        <f ca="1">OFFSET(Tab.U.Default!$A$1,$AB136-1,MATCH("U_Class_"&amp;IF($J136="TopCeiling","UpperCeiling",$J136)&amp;"_"&amp;AE$87,Tab.U.Default!$1:$1,0)-1)</f>
        <v>1.5</v>
      </c>
      <c r="AF136" s="26">
        <f t="shared" ca="1" si="0"/>
        <v>1.5</v>
      </c>
      <c r="AG136" s="26">
        <f t="shared" ca="1" si="48"/>
        <v>1.5</v>
      </c>
      <c r="AH136" s="18" t="str">
        <f t="shared" si="59"/>
        <v>Refurbish</v>
      </c>
      <c r="AI136" s="18" t="str">
        <f t="shared" si="28"/>
        <v>Add</v>
      </c>
      <c r="AJ136" s="18">
        <f t="shared" si="3"/>
        <v>2016</v>
      </c>
      <c r="AK136" s="17">
        <f>MATCH(AJ136,Tab.Year.Period!$11:$11,1)-3</f>
        <v>12</v>
      </c>
      <c r="AL136" s="17">
        <f>MATCH(AL$88&amp;"."&amp;TEXT(AK136,"00"),Tab.Insulation.Default!$A:$A,0)</f>
        <v>23</v>
      </c>
      <c r="AM136" s="20" t="e">
        <f ca="1">IF(ISNA(IF(S136="",#N/A,S136)),OFFSET(Tab.Insulation.Default!$A$1,$AL136-1,MATCH(AM$87&amp;"_"&amp;$K136,Tab.Insulation.Default!$1:$1,0)-1),#N/A)</f>
        <v>#N/A</v>
      </c>
      <c r="AN136" s="27">
        <f t="shared" si="29"/>
        <v>40</v>
      </c>
      <c r="AO136" s="22" t="e">
        <f ca="1">IF(ISNA(IF(V136="",#N/A,V136)),OFFSET(Tab.Insulation.Default!$A$1,$AL136-1,MATCH(AO$87&amp;"_"&amp;$K136,Tab.Insulation.Default!$1:$1,0)-1),#N/A)</f>
        <v>#N/A</v>
      </c>
      <c r="AP136" s="23">
        <f t="shared" si="30"/>
        <v>3.5000000000000003E-2</v>
      </c>
      <c r="AQ136" s="29" t="str">
        <f t="shared" si="60"/>
        <v>Gen.Refurbished.12</v>
      </c>
      <c r="AR136" s="17">
        <f>MATCH(AR$88&amp;"."&amp;AQ136,Tab.Measure.f.Default!$A:$A,0)</f>
        <v>23</v>
      </c>
      <c r="AS136" s="21">
        <f ca="1">OFFSET(Tab.Measure.f.Default!$A$1,AR136-1,MATCH(AS$87&amp;"_"&amp;$J136,Tab.Measure.f.Default!$1:$1,0)-1)</f>
        <v>0.75</v>
      </c>
      <c r="AT136" s="29" t="str">
        <f t="shared" si="61"/>
        <v>MUH.NA.03</v>
      </c>
      <c r="AU136" s="17">
        <f>MATCH(AU$88&amp;"."&amp;AT136,Tab.Measure.f.Default!$A:$A,0)</f>
        <v>38</v>
      </c>
      <c r="AV136" s="21">
        <f ca="1">OFFSET(Tab.Measure.f.Default!$A$1,AU136-1,MATCH(AV$87&amp;"_"&amp;$J136,Tab.Measure.f.Default!$1:$1,0)-1)</f>
        <v>0.37</v>
      </c>
      <c r="AW136" s="30">
        <f t="shared" si="33"/>
        <v>1</v>
      </c>
      <c r="AX136" s="9">
        <f t="shared" ca="1" si="62"/>
        <v>0.66666666666666663</v>
      </c>
      <c r="AY136" s="9">
        <f t="shared" si="63"/>
        <v>11.428571428571429</v>
      </c>
      <c r="AZ136" s="9">
        <f t="shared" ca="1" si="46"/>
        <v>12.095238095238095</v>
      </c>
      <c r="BA136" s="9">
        <f t="shared" ca="1" si="47"/>
        <v>8.2677165354330714E-2</v>
      </c>
      <c r="BB136" s="9">
        <f t="shared" ca="1" si="64"/>
        <v>8.2677165354330714E-2</v>
      </c>
      <c r="BC136" s="32" t="str">
        <f t="shared" si="65"/>
        <v>D</v>
      </c>
      <c r="BD136" s="20" t="str">
        <f ca="1">OFFSET(Tab.Uncertainty.Levels!$A$1,MATCH(BD$88,Tab.Uncertainty.Levels!$A:$A,0)-1,MATCH(BD$87&amp;"_"&amp;BC136,Tab.Uncertainty.Levels!$1:$1,0)-1)</f>
        <v>Use of default values; building constructed until 1983</v>
      </c>
      <c r="BE136" s="24">
        <f ca="1">OFFSET(Tab.Uncertainty.Levels!$A$1,MATCH(BE$88,Tab.Uncertainty.Levels!$A:$A,0)-1,MATCH(BE$87&amp;"_"&amp;BC136,Tab.Uncertainty.Levels!$1:$1,0)-1)</f>
        <v>0.3</v>
      </c>
      <c r="BF136" s="32" t="str">
        <f t="shared" si="66"/>
        <v>-</v>
      </c>
      <c r="BG136" s="20" t="e">
        <f ca="1">OFFSET(Tab.Uncertainty.Levels!$A$1,MATCH(BG$88,Tab.Uncertainty.Levels!$A:$A,0)-1,MATCH(BG$87&amp;"_"&amp;BF136,Tab.Uncertainty.Levels!$1:$1,0)-1)</f>
        <v>#N/A</v>
      </c>
      <c r="BH136" s="24" t="e">
        <f ca="1">OFFSET(Tab.Uncertainty.Levels!$A$1,MATCH(BH$88,Tab.Uncertainty.Levels!$A:$A,0)-1,MATCH(BH$87&amp;"_"&amp;BF136,Tab.Uncertainty.Levels!$1:$1,0)-1)</f>
        <v>#N/A</v>
      </c>
      <c r="BI136" s="32" t="str">
        <f t="shared" si="31"/>
        <v>D</v>
      </c>
      <c r="BJ136" s="13">
        <f ca="1">IF(BF136="-",BE136,BH136)</f>
        <v>0.3</v>
      </c>
      <c r="BK136" s="32" t="str">
        <f>IF(OR($L136="NoDataSource",IFERROR(IF($S136="",#N/A,$S136),0)=0),IF(IFERROR(IF(U136="",#N/A,U136),0)=0,"E","D"),IF($L136="DesignDataPlusQA","A",IF($L136="DesignData","B","C")))</f>
        <v>C</v>
      </c>
      <c r="BL136" s="20" t="str">
        <f ca="1">OFFSET(Tab.Uncertainty.Levels!$A$1,MATCH(BL$88,Tab.Uncertainty.Levels!$A:$A,0)-1,MATCH(BL$87&amp;"_"&amp;BK136,Tab.Uncertainty.Levels!$1:$1,0)-1)</f>
        <v>Insulation thickness determined by inspection onsite / record or statement of owner</v>
      </c>
      <c r="BM136" s="24">
        <f ca="1">OFFSET(Tab.Uncertainty.Levels!$A$1,MATCH(BM$88,Tab.Uncertainty.Levels!$A:$A,0)-1,MATCH(BM$87&amp;"_"&amp;BK136,Tab.Uncertainty.Levels!$1:$1,0)-1)</f>
        <v>0.25</v>
      </c>
      <c r="BN136" s="34">
        <f ca="1">OFFSET(Tab.Uncertainty.Levels!$A$1,MATCH(BN$88,Tab.Uncertainty.Levels!$A:$A,0)-1,MATCH(BN$87&amp;"_"&amp;BK136,Tab.Uncertainty.Levels!$1:$1,0)-1)</f>
        <v>2</v>
      </c>
      <c r="BO136" s="13">
        <f ca="1">IFERROR(MIN(BM136,BN136/AN136),0)</f>
        <v>0.05</v>
      </c>
      <c r="BP136" s="32" t="str">
        <f>IF(OR($L136="NoDataSource",IFERROR(IF($V136="",#N/A,$V136),0)=0),IF(IFERROR(IF(U136="",#N/A,U136),0)=0,"E","D"),IF($L136="DesignDataPlusQA","A",IF($L136="DesignData","B","C")))</f>
        <v>C</v>
      </c>
      <c r="BQ136" s="20" t="str">
        <f ca="1">OFFSET(Tab.Uncertainty.Levels!$A$1,MATCH(BQ$88,Tab.Uncertainty.Levels!$A:$A,0)-1,MATCH(BQ$87&amp;"_"&amp;BP136,Tab.Uncertainty.Levels!$1:$1,0)-1)</f>
        <v>Thermal conductivity of Insulation determined by inspection onsite / record or statement of owner</v>
      </c>
      <c r="BR136" s="97">
        <f ca="1">OFFSET(Tab.Uncertainty.Levels!$A$1,MATCH(BR$88,Tab.Uncertainty.Levels!$A:$A,0)-1,MATCH(BR$87&amp;"_"&amp;BP136,Tab.Uncertainty.Levels!$1:$1,0)-1)</f>
        <v>0.15</v>
      </c>
      <c r="BS136" s="32" t="str">
        <f>IF(L136="NoDataSource","D",IF(IFERROR(IF($T136="",#N/A,$T136),0)=0,IF(OR(IFERROR(IF($S136="",#N/A,$S136),0)&gt;0,$R136="Refurbish"),"D","E"),IF($L136="DesignDataPlusQA","A",IF($L136="DesignData","B","C"))))</f>
        <v>C</v>
      </c>
      <c r="BT136" s="20" t="str">
        <f ca="1">OFFSET(Tab.Uncertainty.Levels!$A$1,MATCH(BT$88,Tab.Uncertainty.Levels!$A:$A,0)-1,MATCH(BT$87&amp;"_"&amp;BS136,Tab.Uncertainty.Levels!$1:$1,0)-1)</f>
        <v>Insulation fraction determined by inspection onsite / record or statement of owner</v>
      </c>
      <c r="BU136" s="33">
        <f ca="1">OFFSET(Tab.Uncertainty.Levels!$A$1,MATCH(BU$88,Tab.Uncertainty.Levels!$A:$A,0)-1,MATCH(BU$87&amp;"_"&amp;BS136,Tab.Uncertainty.Levels!$1:$1,0)-1)</f>
        <v>0.2</v>
      </c>
      <c r="BV136" s="13">
        <f ca="1">IFERROR(MIN(BU136/AW136,1,(1-AW136)/AW136),0)</f>
        <v>0</v>
      </c>
      <c r="BW136" s="96">
        <f ca="1">ABS(1+(AW136*(1/(1+AN136/100/AP136*AG136)^2-1)))*BJ136*$AG136</f>
        <v>1.3671027342054554E-3</v>
      </c>
      <c r="BX136" s="96">
        <f ca="1">ABS(-AG136+1/(1/AG136+AN136/100/AP136))*BV136*AW136</f>
        <v>0</v>
      </c>
      <c r="BY136" s="96">
        <f ca="1">ABS(-AW136*AP136/((AP136/AG136+AN136/100)^2))*(BO136*AN136/100)</f>
        <v>3.906007812015624E-3</v>
      </c>
      <c r="BZ136" s="202">
        <f ca="1">ABS(AW136*AN136/100/(1/AG136*AP136+AN136/100)^2)*(BR136*AP136)</f>
        <v>1.1718023436046873E-2</v>
      </c>
      <c r="CA136" s="103">
        <f t="shared" ca="1" si="32"/>
        <v>1.2427306231084147E-2</v>
      </c>
      <c r="CB136" s="37">
        <f t="shared" ca="1" si="67"/>
        <v>1.6535433070865982E-2</v>
      </c>
      <c r="CC136" s="37">
        <f t="shared" ca="1" si="68"/>
        <v>0</v>
      </c>
      <c r="CD136" s="37">
        <f t="shared" ca="1" si="69"/>
        <v>4.7244094488188976E-2</v>
      </c>
      <c r="CE136" s="37">
        <f t="shared" ca="1" si="70"/>
        <v>0.14173228346456693</v>
      </c>
      <c r="CF136" s="13">
        <f t="shared" ca="1" si="71"/>
        <v>0.15031122774739875</v>
      </c>
      <c r="CG136" s="101">
        <f ca="1">AG136</f>
        <v>1.5</v>
      </c>
      <c r="CH136" s="101">
        <f>AW136</f>
        <v>1</v>
      </c>
      <c r="CI136" s="203">
        <f>IF(CH136&gt;0,AN136,0)</f>
        <v>40</v>
      </c>
      <c r="CJ136" s="102">
        <f>IF(AND(CH136&gt;0,CI136&gt;0),AP136,0)</f>
        <v>3.5000000000000003E-2</v>
      </c>
      <c r="CK136" s="102">
        <f ca="1">BB136</f>
        <v>8.2677165354330714E-2</v>
      </c>
      <c r="CL136" s="37">
        <f t="shared" ca="1" si="49"/>
        <v>0.3</v>
      </c>
      <c r="CM136" s="37">
        <f t="shared" ca="1" si="50"/>
        <v>0</v>
      </c>
      <c r="CN136" s="37">
        <f t="shared" ca="1" si="51"/>
        <v>0.05</v>
      </c>
      <c r="CO136" s="37">
        <f t="shared" ca="1" si="52"/>
        <v>0.15</v>
      </c>
      <c r="CP136" s="37">
        <f t="shared" ca="1" si="53"/>
        <v>0.15031122774739875</v>
      </c>
      <c r="CQ136" s="95">
        <f t="shared" ca="1" si="54"/>
        <v>0.44999999999999996</v>
      </c>
      <c r="CR136" s="95">
        <f t="shared" ca="1" si="55"/>
        <v>0</v>
      </c>
      <c r="CS136" s="95">
        <f t="shared" ca="1" si="56"/>
        <v>2</v>
      </c>
      <c r="CT136" s="103">
        <f t="shared" ca="1" si="57"/>
        <v>5.2500000000000003E-3</v>
      </c>
      <c r="CU136" s="95">
        <f t="shared" ca="1" si="58"/>
        <v>1.2427306231084149E-2</v>
      </c>
      <c r="CV136" s="37">
        <f ca="1">$CB136^2/$CF136^2</f>
        <v>1.2101753519387269E-2</v>
      </c>
      <c r="CW136" s="37">
        <f ca="1">$CD136^2/$CF136^2</f>
        <v>9.8789824648061242E-2</v>
      </c>
      <c r="CX136" s="37">
        <f ca="1">$CE136^2/$CF136^2</f>
        <v>0.88910842183255123</v>
      </c>
      <c r="CY136" s="37">
        <f ca="1">$CC136^2/$CF136^2</f>
        <v>0</v>
      </c>
      <c r="DA136" s="98" t="s">
        <v>214</v>
      </c>
      <c r="DB136" s="36">
        <f ca="1">OFFSET($A$1,ROW(DB136)-1,MATCH(DA136,$1:$1,0)-1)</f>
        <v>40</v>
      </c>
      <c r="DC136" s="9">
        <f ca="1">BB136</f>
        <v>8.2677165354330714E-2</v>
      </c>
      <c r="DD136" s="9">
        <f ca="1">$DC136+$CA136</f>
        <v>9.5104471585414865E-2</v>
      </c>
      <c r="DE136" s="9">
        <f ca="1">$DC136-$CA136</f>
        <v>7.0249859123246564E-2</v>
      </c>
      <c r="DF136" s="10">
        <f ca="1">0.5*(DD136-DE136)/DC136</f>
        <v>0.15031122774739877</v>
      </c>
    </row>
    <row r="137" spans="1:110" s="8" customFormat="1" ht="32.4" customHeight="1">
      <c r="A137" s="206" t="s">
        <v>573</v>
      </c>
      <c r="B137" s="209" t="s">
        <v>2343</v>
      </c>
      <c r="C137" s="206" t="str">
        <f t="shared" ref="C137" si="76">E137&amp;" = "&amp;F137</f>
        <v>Parameter-Variation: all input =  = NA / InspectionOnsite</v>
      </c>
      <c r="D137" s="206"/>
      <c r="E137" s="206" t="s">
        <v>203</v>
      </c>
      <c r="F137" s="206" t="str">
        <f>"NA / "&amp;L137</f>
        <v>NA / InspectionOnsite</v>
      </c>
      <c r="G137" s="206" t="s">
        <v>2170</v>
      </c>
      <c r="H137" s="206" t="s">
        <v>2171</v>
      </c>
      <c r="I137" s="156" t="s">
        <v>80</v>
      </c>
      <c r="J137" s="156" t="s">
        <v>134</v>
      </c>
      <c r="K137" s="156" t="s">
        <v>155</v>
      </c>
      <c r="L137" s="156" t="s">
        <v>66</v>
      </c>
      <c r="M137" s="156" t="s">
        <v>188</v>
      </c>
      <c r="N137" s="7" t="e">
        <v>#N/A</v>
      </c>
      <c r="O137" s="156" t="e">
        <v>#N/A</v>
      </c>
      <c r="P137" s="156" t="e">
        <v>#N/A</v>
      </c>
      <c r="Q137" s="156" t="s">
        <v>435</v>
      </c>
      <c r="R137" s="156" t="s">
        <v>41</v>
      </c>
      <c r="S137" s="19" t="e">
        <v>#N/A</v>
      </c>
      <c r="T137" s="19" t="e">
        <v>#N/A</v>
      </c>
      <c r="U137" s="19" t="e">
        <v>#N/A</v>
      </c>
      <c r="V137" s="19" t="e">
        <v>#N/A</v>
      </c>
      <c r="W137" s="28" t="s">
        <v>59</v>
      </c>
      <c r="X137" s="19" t="e">
        <v>#N/A</v>
      </c>
      <c r="Y137" s="105">
        <f ca="1">IFERROR(OFFSET(Tab.Const.ConstrBorder!$A$1,MATCH(Q137,Tab.Const.ConstrBorder!$A:$A,0)-1,MATCH(Y$87,Tab.Const.ConstrBorder!$1:$1,0)-1),0)</f>
        <v>0</v>
      </c>
      <c r="Z137" s="18">
        <f t="shared" si="27"/>
        <v>1963</v>
      </c>
      <c r="AA137" s="17">
        <f>MATCH(Z137,Tab.Year.Period!$11:$11,1)-3</f>
        <v>5</v>
      </c>
      <c r="AB137" s="17">
        <f>MATCH(AB$88&amp;"."&amp;TEXT(AA137,"00"),Tab.U.Default!$A:$A,0)</f>
        <v>28</v>
      </c>
      <c r="AC137" s="105">
        <f ca="1">OFFSET(Tab.U.Default!$A$1,$AB137-1,MATCH("U_Class_"&amp;IF($J137="TopCeiling","UpperCeiling",$J137)&amp;"_"&amp;AC$87,Tab.U.Default!$1:$1,0)-1)</f>
        <v>1.2</v>
      </c>
      <c r="AD137" s="105">
        <f ca="1">OFFSET(Tab.U.Default!$A$1,$AB137-1,MATCH("U_Class_"&amp;IF($J137="TopCeiling","UpperCeiling",$J137)&amp;"_"&amp;AD$87,Tab.U.Default!$1:$1,0)-1)</f>
        <v>1.2</v>
      </c>
      <c r="AE137" s="105">
        <f ca="1">OFFSET(Tab.U.Default!$A$1,$AB137-1,MATCH("U_Class_"&amp;IF($J137="TopCeiling","UpperCeiling",$J137)&amp;"_"&amp;AE$87,Tab.U.Default!$1:$1,0)-1)</f>
        <v>0.8</v>
      </c>
      <c r="AF137" s="26">
        <f t="shared" ca="1" si="0"/>
        <v>1.2</v>
      </c>
      <c r="AG137" s="26">
        <f t="shared" ca="1" si="48"/>
        <v>1.2</v>
      </c>
      <c r="AH137" s="18" t="str">
        <f t="shared" si="59"/>
        <v>Refurbish</v>
      </c>
      <c r="AI137" s="18" t="str">
        <f t="shared" si="28"/>
        <v>Add</v>
      </c>
      <c r="AJ137" s="18">
        <f t="shared" si="3"/>
        <v>1995</v>
      </c>
      <c r="AK137" s="17">
        <f>MATCH(AJ137,Tab.Year.Period!$11:$11,1)-3</f>
        <v>9</v>
      </c>
      <c r="AL137" s="17">
        <f>MATCH(AL$88&amp;"."&amp;TEXT(AK137,"00"),Tab.Insulation.Default!$A:$A,0)</f>
        <v>20</v>
      </c>
      <c r="AM137" s="20">
        <f ca="1">IF(ISNA(IF(S137="",#N/A,S137)),OFFSET(Tab.Insulation.Default!$A$1,$AL137-1,MATCH(AM$87&amp;"_"&amp;$K137,Tab.Insulation.Default!$1:$1,0)-1),#N/A)</f>
        <v>8</v>
      </c>
      <c r="AN137" s="27">
        <f t="shared" ca="1" si="29"/>
        <v>8</v>
      </c>
      <c r="AO137" s="22">
        <f ca="1">IF(ISNA(IF(V137="",#N/A,V137)),OFFSET(Tab.Insulation.Default!$A$1,$AL137-1,MATCH(AO$87&amp;"_"&amp;$K137,Tab.Insulation.Default!$1:$1,0)-1),#N/A)</f>
        <v>0.04</v>
      </c>
      <c r="AP137" s="23">
        <f t="shared" ca="1" si="30"/>
        <v>0.04</v>
      </c>
      <c r="AQ137" s="29" t="str">
        <f t="shared" si="60"/>
        <v>Gen.Refurbished.09</v>
      </c>
      <c r="AR137" s="17">
        <f>MATCH(AR$88&amp;"."&amp;AQ137,Tab.Measure.f.Default!$A:$A,0)</f>
        <v>20</v>
      </c>
      <c r="AS137" s="21">
        <f ca="1">OFFSET(Tab.Measure.f.Default!$A$1,AR137-1,MATCH(AS$87&amp;"_"&amp;$J137,Tab.Measure.f.Default!$1:$1,0)-1)</f>
        <v>0.75</v>
      </c>
      <c r="AT137" s="29" t="str">
        <f t="shared" si="61"/>
        <v>MUH.NA.05</v>
      </c>
      <c r="AU137" s="17">
        <f>MATCH(AU$88&amp;"."&amp;AT137,Tab.Measure.f.Default!$A:$A,0)</f>
        <v>40</v>
      </c>
      <c r="AV137" s="21">
        <f ca="1">OFFSET(Tab.Measure.f.Default!$A$1,AU137-1,MATCH(AV$87&amp;"_"&amp;$J137,Tab.Measure.f.Default!$1:$1,0)-1)</f>
        <v>0.37</v>
      </c>
      <c r="AW137" s="30">
        <f t="shared" ca="1" si="33"/>
        <v>0.37</v>
      </c>
      <c r="AX137" s="9">
        <f t="shared" ca="1" si="62"/>
        <v>0.83333333333333337</v>
      </c>
      <c r="AY137" s="9">
        <f t="shared" ca="1" si="63"/>
        <v>2</v>
      </c>
      <c r="AZ137" s="9">
        <f t="shared" ref="AZ137" ca="1" si="77">AX137+AY137</f>
        <v>2.8333333333333335</v>
      </c>
      <c r="BA137" s="9">
        <f t="shared" ref="BA137" ca="1" si="78">1/AZ137</f>
        <v>0.3529411764705882</v>
      </c>
      <c r="BB137" s="9">
        <f t="shared" ca="1" si="64"/>
        <v>0.88658823529411768</v>
      </c>
      <c r="BC137" s="32" t="str">
        <f t="shared" si="65"/>
        <v>E</v>
      </c>
      <c r="BD137" s="20" t="str">
        <f ca="1">OFFSET(Tab.Uncertainty.Levels!$A$1,MATCH(BD$88,Tab.Uncertainty.Levels!$A:$A,0)-1,MATCH(BD$87&amp;"_"&amp;BC137,Tab.Uncertainty.Levels!$1:$1,0)-1)</f>
        <v>Construction year of the building unknown</v>
      </c>
      <c r="BE137" s="24">
        <f ca="1">OFFSET(Tab.Uncertainty.Levels!$A$1,MATCH(BE$88,Tab.Uncertainty.Levels!$A:$A,0)-1,MATCH(BE$87&amp;"_"&amp;BC137,Tab.Uncertainty.Levels!$1:$1,0)-1)</f>
        <v>0.5</v>
      </c>
      <c r="BF137" s="32" t="str">
        <f t="shared" si="66"/>
        <v>-</v>
      </c>
      <c r="BG137" s="20" t="e">
        <f ca="1">OFFSET(Tab.Uncertainty.Levels!$A$1,MATCH(BG$88,Tab.Uncertainty.Levels!$A:$A,0)-1,MATCH(BG$87&amp;"_"&amp;BF137,Tab.Uncertainty.Levels!$1:$1,0)-1)</f>
        <v>#N/A</v>
      </c>
      <c r="BH137" s="24" t="e">
        <f ca="1">OFFSET(Tab.Uncertainty.Levels!$A$1,MATCH(BH$88,Tab.Uncertainty.Levels!$A:$A,0)-1,MATCH(BH$87&amp;"_"&amp;BF137,Tab.Uncertainty.Levels!$1:$1,0)-1)</f>
        <v>#N/A</v>
      </c>
      <c r="BI137" s="32" t="str">
        <f t="shared" si="31"/>
        <v>E</v>
      </c>
      <c r="BJ137" s="13">
        <f ca="1">IF(BF137="-",BE137,BH137)</f>
        <v>0.5</v>
      </c>
      <c r="BK137" s="32" t="str">
        <f>IF(OR($L137="NoDataSource",IFERROR(IF($S137="",#N/A,$S137),0)=0),IF(IFERROR(IF(U137="",#N/A,U137),0)=0,"E","D"),IF($L137="DesignDataPlusQA","A",IF($L137="DesignData","B","C")))</f>
        <v>E</v>
      </c>
      <c r="BL137" s="20" t="str">
        <f ca="1">OFFSET(Tab.Uncertainty.Levels!$A$1,MATCH(BL$88,Tab.Uncertainty.Levels!$A:$A,0)-1,MATCH(BL$87&amp;"_"&amp;BK137,Tab.Uncertainty.Levels!$1:$1,0)-1)</f>
        <v>Insulation available; insulation thickness and year of implementation unknown</v>
      </c>
      <c r="BM137" s="24">
        <f ca="1">OFFSET(Tab.Uncertainty.Levels!$A$1,MATCH(BM$88,Tab.Uncertainty.Levels!$A:$A,0)-1,MATCH(BM$87&amp;"_"&amp;BK137,Tab.Uncertainty.Levels!$1:$1,0)-1)</f>
        <v>0.5</v>
      </c>
      <c r="BN137" s="34">
        <f ca="1">OFFSET(Tab.Uncertainty.Levels!$A$1,MATCH(BN$88,Tab.Uncertainty.Levels!$A:$A,0)-1,MATCH(BN$87&amp;"_"&amp;BK137,Tab.Uncertainty.Levels!$1:$1,0)-1)</f>
        <v>8</v>
      </c>
      <c r="BO137" s="13">
        <f ca="1">IFERROR(MIN(BM137,BN137/AN137),0)</f>
        <v>0.5</v>
      </c>
      <c r="BP137" s="32" t="str">
        <f>IF(OR($L137="NoDataSource",IFERROR(IF($V137="",#N/A,$V137),0)=0),IF(IFERROR(IF(U137="",#N/A,U137),0)=0,"E","D"),IF($L137="DesignDataPlusQA","A",IF($L137="DesignData","B","C")))</f>
        <v>E</v>
      </c>
      <c r="BQ137" s="20" t="str">
        <f ca="1">OFFSET(Tab.Uncertainty.Levels!$A$1,MATCH(BQ$88,Tab.Uncertainty.Levels!$A:$A,0)-1,MATCH(BQ$87&amp;"_"&amp;BP137,Tab.Uncertainty.Levels!$1:$1,0)-1)</f>
        <v>Insulation available; no information about material and year of implementation</v>
      </c>
      <c r="BR137" s="97">
        <f ca="1">OFFSET(Tab.Uncertainty.Levels!$A$1,MATCH(BR$88,Tab.Uncertainty.Levels!$A:$A,0)-1,MATCH(BR$87&amp;"_"&amp;BP137,Tab.Uncertainty.Levels!$1:$1,0)-1)</f>
        <v>0.3</v>
      </c>
      <c r="BS137" s="32" t="str">
        <f>IF(L137="NoDataSource","D",IF(IFERROR(IF($T137="",#N/A,$T137),0)=0,IF(OR(IFERROR(IF($S137="",#N/A,$S137),0)&gt;0,$R137="Refurbish"),"D","E"),IF($L137="DesignDataPlusQA","A",IF($L137="DesignData","B","C"))))</f>
        <v>E</v>
      </c>
      <c r="BT137" s="20" t="str">
        <f ca="1">OFFSET(Tab.Uncertainty.Levels!$A$1,MATCH(BT$88,Tab.Uncertainty.Levels!$A:$A,0)-1,MATCH(BT$87&amp;"_"&amp;BS137,Tab.Uncertainty.Levels!$1:$1,0)-1)</f>
        <v>Unknown if insulation has been applied (default fraction value is the average insulation fraction for all buildings)</v>
      </c>
      <c r="BU137" s="33">
        <f ca="1">OFFSET(Tab.Uncertainty.Levels!$A$1,MATCH(BU$88,Tab.Uncertainty.Levels!$A:$A,0)-1,MATCH(BU$87&amp;"_"&amp;BS137,Tab.Uncertainty.Levels!$1:$1,0)-1)</f>
        <v>0.5</v>
      </c>
      <c r="BV137" s="13">
        <f ca="1">IFERROR(MIN(BU137/AW137,1,(1-AW137)/AW137),0)</f>
        <v>1</v>
      </c>
      <c r="BW137" s="96">
        <f ca="1">ABS(1+(AW137*(1/(1+AN137/100/AP137*AG137)^2-1)))*BJ137*$AG137</f>
        <v>0.39720415224913491</v>
      </c>
      <c r="BX137" s="96">
        <f ca="1">ABS(-AG137+1/(1/AG137+AN137/100/AP137))*BV137*AW137</f>
        <v>0.31341176470588233</v>
      </c>
      <c r="BY137" s="96">
        <f ca="1">ABS(-AW137*AP137/((AP137/AG137+AN137/100)^2))*(BO137*AN137/100)</f>
        <v>4.6089965397923871E-2</v>
      </c>
      <c r="BZ137" s="202">
        <f ca="1">ABS(AW137*AN137/100/(1/AG137*AP137+AN137/100)^2)*(BR137*AP137)</f>
        <v>2.7653979238754324E-2</v>
      </c>
      <c r="CA137" s="103">
        <f t="shared" ca="1" si="32"/>
        <v>0.50880949312893975</v>
      </c>
      <c r="CB137" s="37">
        <f t="shared" ca="1" si="67"/>
        <v>0.44801423754215058</v>
      </c>
      <c r="CC137" s="37">
        <f t="shared" ca="1" si="68"/>
        <v>0.35350318471337577</v>
      </c>
      <c r="CD137" s="37">
        <f t="shared" ca="1" si="69"/>
        <v>5.1985762457849374E-2</v>
      </c>
      <c r="CE137" s="37">
        <f t="shared" ca="1" si="70"/>
        <v>3.1191457474709628E-2</v>
      </c>
      <c r="CF137" s="13">
        <f t="shared" ca="1" si="71"/>
        <v>0.57389605780201536</v>
      </c>
      <c r="CG137" s="101">
        <f ca="1">AG137</f>
        <v>1.2</v>
      </c>
      <c r="CH137" s="101">
        <f ca="1">AW137</f>
        <v>0.37</v>
      </c>
      <c r="CI137" s="203">
        <f ca="1">IF(CH137&gt;0,AN137,0)</f>
        <v>8</v>
      </c>
      <c r="CJ137" s="102">
        <f ca="1">IF(AND(CH137&gt;0,CI137&gt;0),AP137,0)</f>
        <v>0.04</v>
      </c>
      <c r="CK137" s="102">
        <f ca="1">BB137</f>
        <v>0.88658823529411768</v>
      </c>
      <c r="CL137" s="37">
        <f t="shared" ca="1" si="49"/>
        <v>0.5</v>
      </c>
      <c r="CM137" s="37">
        <f t="shared" ca="1" si="50"/>
        <v>1</v>
      </c>
      <c r="CN137" s="37">
        <f t="shared" ca="1" si="51"/>
        <v>0.5</v>
      </c>
      <c r="CO137" s="37">
        <f t="shared" ca="1" si="52"/>
        <v>0.3</v>
      </c>
      <c r="CP137" s="37">
        <f t="shared" ca="1" si="53"/>
        <v>0.57389605780201536</v>
      </c>
      <c r="CQ137" s="95">
        <f t="shared" ca="1" si="54"/>
        <v>0.6</v>
      </c>
      <c r="CR137" s="95">
        <f t="shared" ca="1" si="55"/>
        <v>0.37</v>
      </c>
      <c r="CS137" s="95">
        <f t="shared" ca="1" si="56"/>
        <v>4</v>
      </c>
      <c r="CT137" s="103">
        <f t="shared" ca="1" si="57"/>
        <v>1.2E-2</v>
      </c>
      <c r="CU137" s="95">
        <f t="shared" ca="1" si="58"/>
        <v>0.50880949312893975</v>
      </c>
      <c r="CV137" s="37">
        <f ca="1">$CB137^2/$CF137^2</f>
        <v>0.60942062537016428</v>
      </c>
      <c r="CW137" s="37">
        <f ca="1">$CD137^2/$CF137^2</f>
        <v>8.2054490468452881E-3</v>
      </c>
      <c r="CX137" s="37">
        <f ca="1">$CE137^2/$CF137^2</f>
        <v>2.9539616568643044E-3</v>
      </c>
      <c r="CY137" s="37">
        <f ca="1">$CC137^2/$CF137^2</f>
        <v>0.37941996392612615</v>
      </c>
      <c r="DA137" s="98" t="s">
        <v>214</v>
      </c>
      <c r="DB137" s="36">
        <f ca="1">OFFSET($A$1,ROW(DB137)-1,MATCH(DA137,$1:$1,0)-1)</f>
        <v>8</v>
      </c>
      <c r="DC137" s="9">
        <f ca="1">BB137</f>
        <v>0.88658823529411768</v>
      </c>
      <c r="DD137" s="9">
        <f ca="1">$DC137+$CA137</f>
        <v>1.3953977284230574</v>
      </c>
      <c r="DE137" s="9">
        <f ca="1">$DC137-$CA137</f>
        <v>0.37777874216517793</v>
      </c>
      <c r="DF137" s="10">
        <f t="shared" ref="DF137:DF138" ca="1" si="79">0.5*(DD137-DE137)/DC137</f>
        <v>0.57389605780201536</v>
      </c>
    </row>
    <row r="138" spans="1:110" s="8" customFormat="1" ht="32.4" customHeight="1">
      <c r="A138" s="206" t="s">
        <v>574</v>
      </c>
      <c r="B138" s="209" t="s">
        <v>2343</v>
      </c>
      <c r="C138" s="206" t="str">
        <f t="shared" ref="C138" si="80">E138&amp;" = "&amp;F138</f>
        <v>Parameter-Variation: all input =  = NA / InspectionOnsite</v>
      </c>
      <c r="D138" s="206"/>
      <c r="E138" s="206" t="s">
        <v>203</v>
      </c>
      <c r="F138" s="206" t="str">
        <f>"NA / "&amp;L138</f>
        <v>NA / InspectionOnsite</v>
      </c>
      <c r="G138" s="206" t="s">
        <v>2170</v>
      </c>
      <c r="H138" s="206" t="s">
        <v>2171</v>
      </c>
      <c r="I138" s="156" t="s">
        <v>80</v>
      </c>
      <c r="J138" s="156" t="s">
        <v>134</v>
      </c>
      <c r="K138" s="156" t="s">
        <v>155</v>
      </c>
      <c r="L138" s="156" t="s">
        <v>66</v>
      </c>
      <c r="M138" s="156" t="s">
        <v>188</v>
      </c>
      <c r="N138" s="7" t="e">
        <v>#N/A</v>
      </c>
      <c r="O138" s="156" t="e">
        <v>#N/A</v>
      </c>
      <c r="P138" s="156" t="e">
        <v>#N/A</v>
      </c>
      <c r="Q138" s="156" t="s">
        <v>435</v>
      </c>
      <c r="R138" s="156" t="s">
        <v>58</v>
      </c>
      <c r="S138" s="19" t="e">
        <v>#N/A</v>
      </c>
      <c r="T138" s="19" t="e">
        <v>#N/A</v>
      </c>
      <c r="U138" s="19" t="e">
        <v>#N/A</v>
      </c>
      <c r="V138" s="19" t="e">
        <v>#N/A</v>
      </c>
      <c r="W138" s="28" t="s">
        <v>59</v>
      </c>
      <c r="X138" s="19" t="e">
        <v>#N/A</v>
      </c>
      <c r="Y138" s="105">
        <f ca="1">IFERROR(OFFSET(Tab.Const.ConstrBorder!$A$1,MATCH(Q138,Tab.Const.ConstrBorder!$A:$A,0)-1,MATCH(Y$87,Tab.Const.ConstrBorder!$1:$1,0)-1),0)</f>
        <v>0</v>
      </c>
      <c r="Z138" s="18">
        <f t="shared" si="27"/>
        <v>1963</v>
      </c>
      <c r="AA138" s="17">
        <f>MATCH(Z138,Tab.Year.Period!$11:$11,1)-3</f>
        <v>5</v>
      </c>
      <c r="AB138" s="17">
        <f>MATCH(AB$88&amp;"."&amp;TEXT(AA138,"00"),Tab.U.Default!$A:$A,0)</f>
        <v>28</v>
      </c>
      <c r="AC138" s="105">
        <f ca="1">OFFSET(Tab.U.Default!$A$1,$AB138-1,MATCH("U_Class_"&amp;IF($J138="TopCeiling","UpperCeiling",$J138)&amp;"_"&amp;AC$87,Tab.U.Default!$1:$1,0)-1)</f>
        <v>1.2</v>
      </c>
      <c r="AD138" s="105">
        <f ca="1">OFFSET(Tab.U.Default!$A$1,$AB138-1,MATCH("U_Class_"&amp;IF($J138="TopCeiling","UpperCeiling",$J138)&amp;"_"&amp;AD$87,Tab.U.Default!$1:$1,0)-1)</f>
        <v>1.2</v>
      </c>
      <c r="AE138" s="105">
        <f ca="1">OFFSET(Tab.U.Default!$A$1,$AB138-1,MATCH("U_Class_"&amp;IF($J138="TopCeiling","UpperCeiling",$J138)&amp;"_"&amp;AE$87,Tab.U.Default!$1:$1,0)-1)</f>
        <v>0.8</v>
      </c>
      <c r="AF138" s="26">
        <f t="shared" ca="1" si="0"/>
        <v>1.2</v>
      </c>
      <c r="AG138" s="26">
        <f t="shared" ca="1" si="48"/>
        <v>1.2</v>
      </c>
      <c r="AH138" s="18" t="str">
        <f t="shared" si="59"/>
        <v>Refurbish</v>
      </c>
      <c r="AI138" s="18" t="str">
        <f t="shared" si="28"/>
        <v>Add</v>
      </c>
      <c r="AJ138" s="18">
        <f t="shared" si="3"/>
        <v>1995</v>
      </c>
      <c r="AK138" s="17">
        <f>MATCH(AJ138,Tab.Year.Period!$11:$11,1)-3</f>
        <v>9</v>
      </c>
      <c r="AL138" s="17">
        <f>MATCH(AL$88&amp;"."&amp;TEXT(AK138,"00"),Tab.Insulation.Default!$A:$A,0)</f>
        <v>20</v>
      </c>
      <c r="AM138" s="20">
        <f ca="1">IF(ISNA(IF(S138="",#N/A,S138)),OFFSET(Tab.Insulation.Default!$A$1,$AL138-1,MATCH(AM$87&amp;"_"&amp;$K138,Tab.Insulation.Default!$1:$1,0)-1),#N/A)</f>
        <v>8</v>
      </c>
      <c r="AN138" s="27">
        <f t="shared" ca="1" si="29"/>
        <v>8</v>
      </c>
      <c r="AO138" s="22">
        <f ca="1">IF(ISNA(IF(V138="",#N/A,V138)),OFFSET(Tab.Insulation.Default!$A$1,$AL138-1,MATCH(AO$87&amp;"_"&amp;$K138,Tab.Insulation.Default!$1:$1,0)-1),#N/A)</f>
        <v>0.04</v>
      </c>
      <c r="AP138" s="23">
        <f t="shared" ca="1" si="30"/>
        <v>0.04</v>
      </c>
      <c r="AQ138" s="29" t="str">
        <f t="shared" si="60"/>
        <v>Gen.Refurbished.09</v>
      </c>
      <c r="AR138" s="17">
        <f>MATCH(AR$88&amp;"."&amp;AQ138,Tab.Measure.f.Default!$A:$A,0)</f>
        <v>20</v>
      </c>
      <c r="AS138" s="21">
        <f ca="1">OFFSET(Tab.Measure.f.Default!$A$1,AR138-1,MATCH(AS$87&amp;"_"&amp;$J138,Tab.Measure.f.Default!$1:$1,0)-1)</f>
        <v>0.75</v>
      </c>
      <c r="AT138" s="29" t="str">
        <f t="shared" si="61"/>
        <v>MUH.NA.05</v>
      </c>
      <c r="AU138" s="17">
        <f>MATCH(AU$88&amp;"."&amp;AT138,Tab.Measure.f.Default!$A:$A,0)</f>
        <v>40</v>
      </c>
      <c r="AV138" s="21">
        <f ca="1">OFFSET(Tab.Measure.f.Default!$A$1,AU138-1,MATCH(AV$87&amp;"_"&amp;$J138,Tab.Measure.f.Default!$1:$1,0)-1)</f>
        <v>0.37</v>
      </c>
      <c r="AW138" s="30">
        <f t="shared" ca="1" si="33"/>
        <v>0.75</v>
      </c>
      <c r="AX138" s="9">
        <f t="shared" ca="1" si="62"/>
        <v>0.83333333333333337</v>
      </c>
      <c r="AY138" s="9">
        <f t="shared" ca="1" si="63"/>
        <v>2</v>
      </c>
      <c r="AZ138" s="9">
        <f t="shared" ref="AZ138" ca="1" si="81">AX138+AY138</f>
        <v>2.8333333333333335</v>
      </c>
      <c r="BA138" s="9">
        <f t="shared" ref="BA138" ca="1" si="82">1/AZ138</f>
        <v>0.3529411764705882</v>
      </c>
      <c r="BB138" s="9">
        <f t="shared" ca="1" si="64"/>
        <v>0.56470588235294117</v>
      </c>
      <c r="BC138" s="32" t="str">
        <f t="shared" si="65"/>
        <v>E</v>
      </c>
      <c r="BD138" s="20" t="str">
        <f ca="1">OFFSET(Tab.Uncertainty.Levels!$A$1,MATCH(BD$88,Tab.Uncertainty.Levels!$A:$A,0)-1,MATCH(BD$87&amp;"_"&amp;BC138,Tab.Uncertainty.Levels!$1:$1,0)-1)</f>
        <v>Construction year of the building unknown</v>
      </c>
      <c r="BE138" s="24">
        <f ca="1">OFFSET(Tab.Uncertainty.Levels!$A$1,MATCH(BE$88,Tab.Uncertainty.Levels!$A:$A,0)-1,MATCH(BE$87&amp;"_"&amp;BC138,Tab.Uncertainty.Levels!$1:$1,0)-1)</f>
        <v>0.5</v>
      </c>
      <c r="BF138" s="32" t="str">
        <f t="shared" si="66"/>
        <v>-</v>
      </c>
      <c r="BG138" s="20" t="e">
        <f ca="1">OFFSET(Tab.Uncertainty.Levels!$A$1,MATCH(BG$88,Tab.Uncertainty.Levels!$A:$A,0)-1,MATCH(BG$87&amp;"_"&amp;BF138,Tab.Uncertainty.Levels!$1:$1,0)-1)</f>
        <v>#N/A</v>
      </c>
      <c r="BH138" s="24" t="e">
        <f ca="1">OFFSET(Tab.Uncertainty.Levels!$A$1,MATCH(BH$88,Tab.Uncertainty.Levels!$A:$A,0)-1,MATCH(BH$87&amp;"_"&amp;BF138,Tab.Uncertainty.Levels!$1:$1,0)-1)</f>
        <v>#N/A</v>
      </c>
      <c r="BI138" s="32" t="str">
        <f t="shared" si="31"/>
        <v>E</v>
      </c>
      <c r="BJ138" s="13">
        <f ca="1">IF(BF138="-",BE138,BH138)</f>
        <v>0.5</v>
      </c>
      <c r="BK138" s="32" t="str">
        <f>IF(OR($L138="NoDataSource",IFERROR(IF($S138="",#N/A,$S138),0)=0),IF(IFERROR(IF(U138="",#N/A,U138),0)=0,"E","D"),IF($L138="DesignDataPlusQA","A",IF($L138="DesignData","B","C")))</f>
        <v>E</v>
      </c>
      <c r="BL138" s="20" t="str">
        <f ca="1">OFFSET(Tab.Uncertainty.Levels!$A$1,MATCH(BL$88,Tab.Uncertainty.Levels!$A:$A,0)-1,MATCH(BL$87&amp;"_"&amp;BK138,Tab.Uncertainty.Levels!$1:$1,0)-1)</f>
        <v>Insulation available; insulation thickness and year of implementation unknown</v>
      </c>
      <c r="BM138" s="24">
        <f ca="1">OFFSET(Tab.Uncertainty.Levels!$A$1,MATCH(BM$88,Tab.Uncertainty.Levels!$A:$A,0)-1,MATCH(BM$87&amp;"_"&amp;BK138,Tab.Uncertainty.Levels!$1:$1,0)-1)</f>
        <v>0.5</v>
      </c>
      <c r="BN138" s="34">
        <f ca="1">OFFSET(Tab.Uncertainty.Levels!$A$1,MATCH(BN$88,Tab.Uncertainty.Levels!$A:$A,0)-1,MATCH(BN$87&amp;"_"&amp;BK138,Tab.Uncertainty.Levels!$1:$1,0)-1)</f>
        <v>8</v>
      </c>
      <c r="BO138" s="13">
        <f ca="1">IFERROR(MIN(BM138,BN138/AN138),0)</f>
        <v>0.5</v>
      </c>
      <c r="BP138" s="32" t="str">
        <f>IF(OR($L138="NoDataSource",IFERROR(IF($V138="",#N/A,$V138),0)=0),IF(IFERROR(IF(U138="",#N/A,U138),0)=0,"E","D"),IF($L138="DesignDataPlusQA","A",IF($L138="DesignData","B","C")))</f>
        <v>E</v>
      </c>
      <c r="BQ138" s="20" t="str">
        <f ca="1">OFFSET(Tab.Uncertainty.Levels!$A$1,MATCH(BQ$88,Tab.Uncertainty.Levels!$A:$A,0)-1,MATCH(BQ$87&amp;"_"&amp;BP138,Tab.Uncertainty.Levels!$1:$1,0)-1)</f>
        <v>Insulation available; no information about material and year of implementation</v>
      </c>
      <c r="BR138" s="97">
        <f ca="1">OFFSET(Tab.Uncertainty.Levels!$A$1,MATCH(BR$88,Tab.Uncertainty.Levels!$A:$A,0)-1,MATCH(BR$87&amp;"_"&amp;BP138,Tab.Uncertainty.Levels!$1:$1,0)-1)</f>
        <v>0.3</v>
      </c>
      <c r="BS138" s="32" t="str">
        <f>IF(L138="NoDataSource","D",IF(IFERROR(IF($T138="",#N/A,$T138),0)=0,IF(OR(IFERROR(IF($S138="",#N/A,$S138),0)&gt;0,$R138="Refurbish"),"D","E"),IF($L138="DesignDataPlusQA","A",IF($L138="DesignData","B","C"))))</f>
        <v>D</v>
      </c>
      <c r="BT138" s="20" t="str">
        <f ca="1">OFFSET(Tab.Uncertainty.Levels!$A$1,MATCH(BT$88,Tab.Uncertainty.Levels!$A:$A,0)-1,MATCH(BT$87&amp;"_"&amp;BS138,Tab.Uncertainty.Levels!$1:$1,0)-1)</f>
        <v>Insulation has been applied, but no information about insulation fraction (default fraction value is the average insulation fraction for all insulated buildings)</v>
      </c>
      <c r="BU138" s="33">
        <f ca="1">OFFSET(Tab.Uncertainty.Levels!$A$1,MATCH(BU$88,Tab.Uncertainty.Levels!$A:$A,0)-1,MATCH(BU$87&amp;"_"&amp;BS138,Tab.Uncertainty.Levels!$1:$1,0)-1)</f>
        <v>0.3</v>
      </c>
      <c r="BV138" s="13">
        <f ca="1">IFERROR(MIN(BU138/AW138,1,(1-AW138)/AW138),0)</f>
        <v>0.33333333333333331</v>
      </c>
      <c r="BW138" s="96">
        <f ca="1">ABS(1+(AW138*(1/(1+AN138/100/AP138*AG138)^2-1)))*BJ138*$AG138</f>
        <v>0.18892733564013836</v>
      </c>
      <c r="BX138" s="96">
        <f ca="1">ABS(-AG138+1/(1/AG138+AN138/100/AP138))*BV138*AW138</f>
        <v>0.21176470588235294</v>
      </c>
      <c r="BY138" s="96">
        <f ca="1">ABS(-AW138*AP138/((AP138/AG138+AN138/100)^2))*(BO138*AN138/100)</f>
        <v>9.3425605536332168E-2</v>
      </c>
      <c r="BZ138" s="202">
        <f ca="1">ABS(AW138*AN138/100/(1/AG138*AP138+AN138/100)^2)*(BR138*AP138)</f>
        <v>5.6055363321799299E-2</v>
      </c>
      <c r="CA138" s="103">
        <f t="shared" ca="1" si="32"/>
        <v>0.30398746082114997</v>
      </c>
      <c r="CB138" s="37">
        <f t="shared" ca="1" si="67"/>
        <v>0.33455882352941169</v>
      </c>
      <c r="CC138" s="37">
        <f t="shared" ca="1" si="68"/>
        <v>0.375</v>
      </c>
      <c r="CD138" s="37">
        <f t="shared" ca="1" si="69"/>
        <v>0.1654411764705882</v>
      </c>
      <c r="CE138" s="37">
        <f t="shared" ca="1" si="70"/>
        <v>9.9264705882352922E-2</v>
      </c>
      <c r="CF138" s="13">
        <f t="shared" ca="1" si="71"/>
        <v>0.53831112853745311</v>
      </c>
      <c r="CG138" s="101">
        <f ca="1">AG138</f>
        <v>1.2</v>
      </c>
      <c r="CH138" s="101">
        <f ca="1">AW138</f>
        <v>0.75</v>
      </c>
      <c r="CI138" s="203">
        <f ca="1">IF(CH138&gt;0,AN138,0)</f>
        <v>8</v>
      </c>
      <c r="CJ138" s="102">
        <f ca="1">IF(AND(CH138&gt;0,CI138&gt;0),AP138,0)</f>
        <v>0.04</v>
      </c>
      <c r="CK138" s="102">
        <f ca="1">BB138</f>
        <v>0.56470588235294117</v>
      </c>
      <c r="CL138" s="37">
        <f t="shared" ca="1" si="49"/>
        <v>0.5</v>
      </c>
      <c r="CM138" s="37">
        <f t="shared" ca="1" si="50"/>
        <v>0.33333333333333331</v>
      </c>
      <c r="CN138" s="37">
        <f t="shared" ca="1" si="51"/>
        <v>0.5</v>
      </c>
      <c r="CO138" s="37">
        <f t="shared" ca="1" si="52"/>
        <v>0.3</v>
      </c>
      <c r="CP138" s="37">
        <f t="shared" ca="1" si="53"/>
        <v>0.53831112853745311</v>
      </c>
      <c r="CQ138" s="95">
        <f t="shared" ca="1" si="54"/>
        <v>0.6</v>
      </c>
      <c r="CR138" s="95">
        <f t="shared" ca="1" si="55"/>
        <v>0.25</v>
      </c>
      <c r="CS138" s="95">
        <f t="shared" ca="1" si="56"/>
        <v>4</v>
      </c>
      <c r="CT138" s="103">
        <f t="shared" ca="1" si="57"/>
        <v>1.2E-2</v>
      </c>
      <c r="CU138" s="95">
        <f t="shared" ca="1" si="58"/>
        <v>0.30398746082114997</v>
      </c>
      <c r="CV138" s="37">
        <f ca="1">$CB138^2/$CF138^2</f>
        <v>0.38625868743877972</v>
      </c>
      <c r="CW138" s="37">
        <f ca="1">$CD138^2/$CF138^2</f>
        <v>9.4454032370912808E-2</v>
      </c>
      <c r="CX138" s="37">
        <f ca="1">$CE138^2/$CF138^2</f>
        <v>3.400345165352861E-2</v>
      </c>
      <c r="CY138" s="37">
        <f ca="1">$CC138^2/$CF138^2</f>
        <v>0.48528382853677893</v>
      </c>
      <c r="DA138" s="98" t="s">
        <v>214</v>
      </c>
      <c r="DB138" s="36">
        <f ca="1">OFFSET($A$1,ROW(DB138)-1,MATCH(DA138,$1:$1,0)-1)</f>
        <v>8</v>
      </c>
      <c r="DC138" s="9">
        <f ca="1">BB138</f>
        <v>0.56470588235294117</v>
      </c>
      <c r="DD138" s="9">
        <f ca="1">$DC138+$CA138</f>
        <v>0.86869334317409108</v>
      </c>
      <c r="DE138" s="9">
        <f ca="1">$DC138-$CA138</f>
        <v>0.2607184215317912</v>
      </c>
      <c r="DF138" s="10">
        <f t="shared" ca="1" si="79"/>
        <v>0.538311128537453</v>
      </c>
    </row>
    <row r="139" spans="1:110" s="8" customFormat="1" ht="32.4" customHeight="1">
      <c r="A139" s="206" t="s">
        <v>575</v>
      </c>
      <c r="B139" s="208" t="s">
        <v>2344</v>
      </c>
      <c r="C139" s="206" t="str">
        <f t="shared" ref="C139" ca="1" si="83">E139&amp;" = "&amp;F139</f>
        <v>Parameter-Variation: U_Original = 0,80 W/(m²K) - Year_Building = NA</v>
      </c>
      <c r="D139" s="206"/>
      <c r="E139" s="206" t="s">
        <v>199</v>
      </c>
      <c r="F139" s="206" t="str">
        <f t="shared" ref="F139:F144" ca="1" si="84">TEXT(AG139,"0,00")&amp;" W/(m²K) - Year_Building = "&amp;IFERROR(N139,"NA")</f>
        <v>0,80 W/(m²K) - Year_Building = NA</v>
      </c>
      <c r="G139" s="206" t="s">
        <v>2170</v>
      </c>
      <c r="H139" s="206" t="s">
        <v>2171</v>
      </c>
      <c r="I139" s="156" t="s">
        <v>80</v>
      </c>
      <c r="J139" s="156" t="s">
        <v>134</v>
      </c>
      <c r="K139" s="156" t="s">
        <v>155</v>
      </c>
      <c r="L139" s="156" t="s">
        <v>66</v>
      </c>
      <c r="M139" s="156" t="s">
        <v>188</v>
      </c>
      <c r="N139" s="7" t="e">
        <v>#N/A</v>
      </c>
      <c r="O139" s="156">
        <v>0</v>
      </c>
      <c r="P139" s="156">
        <v>1</v>
      </c>
      <c r="Q139" s="156" t="s">
        <v>435</v>
      </c>
      <c r="R139" s="156" t="s">
        <v>58</v>
      </c>
      <c r="S139" s="19">
        <v>12</v>
      </c>
      <c r="T139" s="19">
        <v>1</v>
      </c>
      <c r="U139" s="19">
        <v>2016</v>
      </c>
      <c r="V139" s="19" t="e">
        <v>#N/A</v>
      </c>
      <c r="W139" s="28" t="s">
        <v>59</v>
      </c>
      <c r="X139" s="19" t="e">
        <v>#N/A</v>
      </c>
      <c r="Y139" s="105">
        <f ca="1">IFERROR(OFFSET(Tab.Const.ConstrBorder!$A$1,MATCH(Q139,Tab.Const.ConstrBorder!$A:$A,0)-1,MATCH(Y$87,Tab.Const.ConstrBorder!$1:$1,0)-1),0)</f>
        <v>0</v>
      </c>
      <c r="Z139" s="18">
        <f t="shared" si="27"/>
        <v>1963</v>
      </c>
      <c r="AA139" s="17">
        <f>MATCH(Z139,Tab.Year.Period!$11:$11,1)-3</f>
        <v>5</v>
      </c>
      <c r="AB139" s="17">
        <f>MATCH(AB$88&amp;"."&amp;TEXT(AA139,"00"),Tab.U.Default!$A:$A,0)</f>
        <v>28</v>
      </c>
      <c r="AC139" s="105">
        <f ca="1">OFFSET(Tab.U.Default!$A$1,$AB139-1,MATCH("U_Class_"&amp;IF($J139="TopCeiling","UpperCeiling",$J139)&amp;"_"&amp;AC$87,Tab.U.Default!$1:$1,0)-1)</f>
        <v>1.2</v>
      </c>
      <c r="AD139" s="105">
        <f ca="1">OFFSET(Tab.U.Default!$A$1,$AB139-1,MATCH("U_Class_"&amp;IF($J139="TopCeiling","UpperCeiling",$J139)&amp;"_"&amp;AD$87,Tab.U.Default!$1:$1,0)-1)</f>
        <v>1.2</v>
      </c>
      <c r="AE139" s="105">
        <f ca="1">OFFSET(Tab.U.Default!$A$1,$AB139-1,MATCH("U_Class_"&amp;IF($J139="TopCeiling","UpperCeiling",$J139)&amp;"_"&amp;AE$87,Tab.U.Default!$1:$1,0)-1)</f>
        <v>0.8</v>
      </c>
      <c r="AF139" s="26">
        <f t="shared" ca="1" si="0"/>
        <v>0.8</v>
      </c>
      <c r="AG139" s="26">
        <f t="shared" ca="1" si="48"/>
        <v>0.8</v>
      </c>
      <c r="AH139" s="18" t="str">
        <f t="shared" si="59"/>
        <v>Refurbish</v>
      </c>
      <c r="AI139" s="18" t="str">
        <f t="shared" si="28"/>
        <v>Add</v>
      </c>
      <c r="AJ139" s="18">
        <f t="shared" si="3"/>
        <v>2016</v>
      </c>
      <c r="AK139" s="17">
        <f>MATCH(AJ139,Tab.Year.Period!$11:$11,1)-3</f>
        <v>12</v>
      </c>
      <c r="AL139" s="17">
        <f>MATCH(AL$88&amp;"."&amp;TEXT(AK139,"00"),Tab.Insulation.Default!$A:$A,0)</f>
        <v>23</v>
      </c>
      <c r="AM139" s="20" t="e">
        <f ca="1">IF(ISNA(IF(S139="",#N/A,S139)),OFFSET(Tab.Insulation.Default!$A$1,$AL139-1,MATCH(AM$87&amp;"_"&amp;$K139,Tab.Insulation.Default!$1:$1,0)-1),#N/A)</f>
        <v>#N/A</v>
      </c>
      <c r="AN139" s="27">
        <f t="shared" si="29"/>
        <v>12</v>
      </c>
      <c r="AO139" s="22">
        <f ca="1">IF(ISNA(IF(V139="",#N/A,V139)),OFFSET(Tab.Insulation.Default!$A$1,$AL139-1,MATCH(AO$87&amp;"_"&amp;$K139,Tab.Insulation.Default!$1:$1,0)-1),#N/A)</f>
        <v>3.5000000000000003E-2</v>
      </c>
      <c r="AP139" s="23">
        <f t="shared" ca="1" si="30"/>
        <v>3.5000000000000003E-2</v>
      </c>
      <c r="AQ139" s="29" t="str">
        <f t="shared" si="60"/>
        <v>Gen.Refurbished.12</v>
      </c>
      <c r="AR139" s="17">
        <f>MATCH(AR$88&amp;"."&amp;AQ139,Tab.Measure.f.Default!$A:$A,0)</f>
        <v>23</v>
      </c>
      <c r="AS139" s="21">
        <f ca="1">OFFSET(Tab.Measure.f.Default!$A$1,AR139-1,MATCH(AS$87&amp;"_"&amp;$J139,Tab.Measure.f.Default!$1:$1,0)-1)</f>
        <v>0.75</v>
      </c>
      <c r="AT139" s="29" t="str">
        <f t="shared" si="61"/>
        <v>MUH.NA.05</v>
      </c>
      <c r="AU139" s="17">
        <f>MATCH(AU$88&amp;"."&amp;AT139,Tab.Measure.f.Default!$A:$A,0)</f>
        <v>40</v>
      </c>
      <c r="AV139" s="21">
        <f ca="1">OFFSET(Tab.Measure.f.Default!$A$1,AU139-1,MATCH(AV$87&amp;"_"&amp;$J139,Tab.Measure.f.Default!$1:$1,0)-1)</f>
        <v>0.37</v>
      </c>
      <c r="AW139" s="30">
        <f t="shared" si="33"/>
        <v>1</v>
      </c>
      <c r="AX139" s="9">
        <f t="shared" ca="1" si="62"/>
        <v>1.25</v>
      </c>
      <c r="AY139" s="9">
        <f t="shared" ca="1" si="63"/>
        <v>3.4285714285714279</v>
      </c>
      <c r="AZ139" s="9">
        <f t="shared" ref="AZ139" ca="1" si="85">AX139+AY139</f>
        <v>4.6785714285714279</v>
      </c>
      <c r="BA139" s="9">
        <f t="shared" ref="BA139" ca="1" si="86">1/AZ139</f>
        <v>0.2137404580152672</v>
      </c>
      <c r="BB139" s="9">
        <f t="shared" ca="1" si="64"/>
        <v>0.2137404580152672</v>
      </c>
      <c r="BC139" s="32" t="str">
        <f t="shared" si="65"/>
        <v>E</v>
      </c>
      <c r="BD139" s="20" t="str">
        <f ca="1">OFFSET(Tab.Uncertainty.Levels!$A$1,MATCH(BD$88,Tab.Uncertainty.Levels!$A:$A,0)-1,MATCH(BD$87&amp;"_"&amp;BC139,Tab.Uncertainty.Levels!$1:$1,0)-1)</f>
        <v>Construction year of the building unknown</v>
      </c>
      <c r="BE139" s="24">
        <f ca="1">OFFSET(Tab.Uncertainty.Levels!$A$1,MATCH(BE$88,Tab.Uncertainty.Levels!$A:$A,0)-1,MATCH(BE$87&amp;"_"&amp;BC139,Tab.Uncertainty.Levels!$1:$1,0)-1)</f>
        <v>0.5</v>
      </c>
      <c r="BF139" s="32" t="str">
        <f t="shared" si="66"/>
        <v>-</v>
      </c>
      <c r="BG139" s="20" t="e">
        <f ca="1">OFFSET(Tab.Uncertainty.Levels!$A$1,MATCH(BG$88,Tab.Uncertainty.Levels!$A:$A,0)-1,MATCH(BG$87&amp;"_"&amp;BF139,Tab.Uncertainty.Levels!$1:$1,0)-1)</f>
        <v>#N/A</v>
      </c>
      <c r="BH139" s="24" t="e">
        <f ca="1">OFFSET(Tab.Uncertainty.Levels!$A$1,MATCH(BH$88,Tab.Uncertainty.Levels!$A:$A,0)-1,MATCH(BH$87&amp;"_"&amp;BF139,Tab.Uncertainty.Levels!$1:$1,0)-1)</f>
        <v>#N/A</v>
      </c>
      <c r="BI139" s="32" t="str">
        <f t="shared" si="31"/>
        <v>E</v>
      </c>
      <c r="BJ139" s="13">
        <f ca="1">IF(BF139="-",BE139,BH139)</f>
        <v>0.5</v>
      </c>
      <c r="BK139" s="32" t="str">
        <f>IF(OR($L139="NoDataSource",IFERROR(IF($S139="",#N/A,$S139),0)=0),IF(IFERROR(IF(U139="",#N/A,U139),0)=0,"E","D"),IF($L139="DesignDataPlusQA","A",IF($L139="DesignData","B","C")))</f>
        <v>C</v>
      </c>
      <c r="BL139" s="20" t="str">
        <f ca="1">OFFSET(Tab.Uncertainty.Levels!$A$1,MATCH(BL$88,Tab.Uncertainty.Levels!$A:$A,0)-1,MATCH(BL$87&amp;"_"&amp;BK139,Tab.Uncertainty.Levels!$1:$1,0)-1)</f>
        <v>Insulation thickness determined by inspection onsite / record or statement of owner</v>
      </c>
      <c r="BM139" s="24">
        <f ca="1">OFFSET(Tab.Uncertainty.Levels!$A$1,MATCH(BM$88,Tab.Uncertainty.Levels!$A:$A,0)-1,MATCH(BM$87&amp;"_"&amp;BK139,Tab.Uncertainty.Levels!$1:$1,0)-1)</f>
        <v>0.25</v>
      </c>
      <c r="BN139" s="34">
        <f ca="1">OFFSET(Tab.Uncertainty.Levels!$A$1,MATCH(BN$88,Tab.Uncertainty.Levels!$A:$A,0)-1,MATCH(BN$87&amp;"_"&amp;BK139,Tab.Uncertainty.Levels!$1:$1,0)-1)</f>
        <v>2</v>
      </c>
      <c r="BO139" s="13">
        <f ca="1">IFERROR(MIN(BM139,BN139/AN139),0)</f>
        <v>0.16666666666666666</v>
      </c>
      <c r="BP139" s="32" t="str">
        <f>IF(OR($L139="NoDataSource",IFERROR(IF($V139="",#N/A,$V139),0)=0),IF(IFERROR(IF(U139="",#N/A,U139),0)=0,"E","D"),IF($L139="DesignDataPlusQA","A",IF($L139="DesignData","B","C")))</f>
        <v>D</v>
      </c>
      <c r="BQ139" s="20" t="str">
        <f ca="1">OFFSET(Tab.Uncertainty.Levels!$A$1,MATCH(BQ$88,Tab.Uncertainty.Levels!$A:$A,0)-1,MATCH(BQ$87&amp;"_"&amp;BP139,Tab.Uncertainty.Levels!$1:$1,0)-1)</f>
        <v>Insulation available; no information about material</v>
      </c>
      <c r="BR139" s="97">
        <f ca="1">OFFSET(Tab.Uncertainty.Levels!$A$1,MATCH(BR$88,Tab.Uncertainty.Levels!$A:$A,0)-1,MATCH(BR$87&amp;"_"&amp;BP139,Tab.Uncertainty.Levels!$1:$1,0)-1)</f>
        <v>0.2</v>
      </c>
      <c r="BS139" s="32" t="str">
        <f>IF(L139="NoDataSource","D",IF(IFERROR(IF($T139="",#N/A,$T139),0)=0,IF(OR(IFERROR(IF($S139="",#N/A,$S139),0)&gt;0,$R139="Refurbish"),"D","E"),IF($L139="DesignDataPlusQA","A",IF($L139="DesignData","B","C"))))</f>
        <v>C</v>
      </c>
      <c r="BT139" s="20" t="str">
        <f ca="1">OFFSET(Tab.Uncertainty.Levels!$A$1,MATCH(BT$88,Tab.Uncertainty.Levels!$A:$A,0)-1,MATCH(BT$87&amp;"_"&amp;BS139,Tab.Uncertainty.Levels!$1:$1,0)-1)</f>
        <v>Insulation fraction determined by inspection onsite / record or statement of owner</v>
      </c>
      <c r="BU139" s="33">
        <f ca="1">OFFSET(Tab.Uncertainty.Levels!$A$1,MATCH(BU$88,Tab.Uncertainty.Levels!$A:$A,0)-1,MATCH(BU$87&amp;"_"&amp;BS139,Tab.Uncertainty.Levels!$1:$1,0)-1)</f>
        <v>0.2</v>
      </c>
      <c r="BV139" s="13">
        <f ca="1">IFERROR(MIN(BU139/AW139,1,(1-AW139)/AW139),0)</f>
        <v>0</v>
      </c>
      <c r="BW139" s="96">
        <f ca="1">ABS(1+(AW139*(1/(1+AN139/100/AP139*AG139)^2-1)))*BJ139*$AG139</f>
        <v>2.8553114620360143E-2</v>
      </c>
      <c r="BX139" s="96">
        <f ca="1">ABS(-AG139+1/(1/AG139+AN139/100/AP139))*BV139*AW139</f>
        <v>0</v>
      </c>
      <c r="BY139" s="96">
        <f ca="1">ABS(-AW139*AP139/((AP139/AG139+AN139/100)^2))*(BO139*AN139/100)</f>
        <v>2.6105704795757825E-2</v>
      </c>
      <c r="BZ139" s="202">
        <f ca="1">ABS(AW139*AN139/100/(1/AG139*AP139+AN139/100)^2)*(BR139*AP139)</f>
        <v>3.1326845754909384E-2</v>
      </c>
      <c r="CA139" s="103">
        <f t="shared" ca="1" si="32"/>
        <v>4.9781115318547869E-2</v>
      </c>
      <c r="CB139" s="37">
        <f t="shared" ca="1" si="67"/>
        <v>0.13358778625954207</v>
      </c>
      <c r="CC139" s="37">
        <f t="shared" ca="1" si="68"/>
        <v>0</v>
      </c>
      <c r="CD139" s="37">
        <f t="shared" ca="1" si="69"/>
        <v>0.12213740458015267</v>
      </c>
      <c r="CE139" s="37">
        <f t="shared" ca="1" si="70"/>
        <v>0.14656488549618318</v>
      </c>
      <c r="CF139" s="13">
        <f t="shared" ca="1" si="71"/>
        <v>0.23290450381177752</v>
      </c>
      <c r="CG139" s="101">
        <f ca="1">AG139</f>
        <v>0.8</v>
      </c>
      <c r="CH139" s="101">
        <f>AW139</f>
        <v>1</v>
      </c>
      <c r="CI139" s="203">
        <f>IF(CH139&gt;0,AN139,0)</f>
        <v>12</v>
      </c>
      <c r="CJ139" s="102">
        <f ca="1">IF(AND(CH139&gt;0,CI139&gt;0),AP139,0)</f>
        <v>3.5000000000000003E-2</v>
      </c>
      <c r="CK139" s="102">
        <f ca="1">BB139</f>
        <v>0.2137404580152672</v>
      </c>
      <c r="CL139" s="37">
        <f t="shared" ca="1" si="49"/>
        <v>0.5</v>
      </c>
      <c r="CM139" s="37">
        <f t="shared" ca="1" si="50"/>
        <v>0</v>
      </c>
      <c r="CN139" s="37">
        <f t="shared" ca="1" si="51"/>
        <v>0.16666666666666666</v>
      </c>
      <c r="CO139" s="37">
        <f t="shared" ca="1" si="52"/>
        <v>0.2</v>
      </c>
      <c r="CP139" s="37">
        <f t="shared" ca="1" si="53"/>
        <v>0.23290450381177752</v>
      </c>
      <c r="CQ139" s="95">
        <f t="shared" ca="1" si="54"/>
        <v>0.4</v>
      </c>
      <c r="CR139" s="95">
        <f t="shared" ca="1" si="55"/>
        <v>0</v>
      </c>
      <c r="CS139" s="95">
        <f t="shared" ca="1" si="56"/>
        <v>2</v>
      </c>
      <c r="CT139" s="103">
        <f t="shared" ca="1" si="57"/>
        <v>7.000000000000001E-3</v>
      </c>
      <c r="CU139" s="95">
        <f t="shared" ca="1" si="58"/>
        <v>4.9781115318547869E-2</v>
      </c>
      <c r="CV139" s="37">
        <f ca="1">$CB139^2/$CF139^2</f>
        <v>0.32898623897560425</v>
      </c>
      <c r="CW139" s="37">
        <f ca="1">$CD139^2/$CF139^2</f>
        <v>0.27500563976409659</v>
      </c>
      <c r="CX139" s="37">
        <f ca="1">$CE139^2/$CF139^2</f>
        <v>0.396008121260299</v>
      </c>
      <c r="CY139" s="37">
        <f ca="1">$CC139^2/$CF139^2</f>
        <v>0</v>
      </c>
      <c r="DA139" s="98" t="s">
        <v>214</v>
      </c>
      <c r="DB139" s="36">
        <f ca="1">OFFSET($A$1,ROW(DB139)-1,MATCH(DA139,$1:$1,0)-1)</f>
        <v>12</v>
      </c>
      <c r="DC139" s="9">
        <f ca="1">BB139</f>
        <v>0.2137404580152672</v>
      </c>
      <c r="DD139" s="9">
        <f ca="1">$DC139+$CA139</f>
        <v>0.2635215733338151</v>
      </c>
      <c r="DE139" s="9">
        <f ca="1">$DC139-$CA139</f>
        <v>0.16395934269671933</v>
      </c>
      <c r="DF139" s="10">
        <f t="shared" ref="DF139:DF200" ca="1" si="87">0.5*(DD139-DE139)/DC139</f>
        <v>0.23290450381177757</v>
      </c>
    </row>
    <row r="140" spans="1:110" s="8" customFormat="1" ht="32.4" customHeight="1">
      <c r="A140" s="206" t="s">
        <v>576</v>
      </c>
      <c r="B140" s="208" t="s">
        <v>2344</v>
      </c>
      <c r="C140" s="206" t="str">
        <f t="shared" ref="C140:C169" ca="1" si="88">E140&amp;" = "&amp;F140</f>
        <v>Parameter-Variation: U_Original = 1,90 W/(m²K) - Year_Building = 1850</v>
      </c>
      <c r="D140" s="206"/>
      <c r="E140" s="206" t="s">
        <v>199</v>
      </c>
      <c r="F140" s="206" t="str">
        <f t="shared" ca="1" si="84"/>
        <v>1,90 W/(m²K) - Year_Building = 1850</v>
      </c>
      <c r="G140" s="206" t="s">
        <v>2170</v>
      </c>
      <c r="H140" s="206" t="s">
        <v>2171</v>
      </c>
      <c r="I140" s="156" t="s">
        <v>80</v>
      </c>
      <c r="J140" s="156" t="s">
        <v>134</v>
      </c>
      <c r="K140" s="156" t="s">
        <v>155</v>
      </c>
      <c r="L140" s="156" t="s">
        <v>66</v>
      </c>
      <c r="M140" s="156" t="s">
        <v>188</v>
      </c>
      <c r="N140" s="7">
        <v>1850</v>
      </c>
      <c r="O140" s="156">
        <v>0</v>
      </c>
      <c r="P140" s="156">
        <v>1</v>
      </c>
      <c r="Q140" s="156" t="s">
        <v>435</v>
      </c>
      <c r="R140" s="156" t="s">
        <v>58</v>
      </c>
      <c r="S140" s="19">
        <v>12</v>
      </c>
      <c r="T140" s="19">
        <v>1</v>
      </c>
      <c r="U140" s="19">
        <v>2016</v>
      </c>
      <c r="V140" s="19" t="e">
        <v>#N/A</v>
      </c>
      <c r="W140" s="28" t="s">
        <v>59</v>
      </c>
      <c r="X140" s="19" t="e">
        <v>#N/A</v>
      </c>
      <c r="Y140" s="105">
        <f ca="1">IFERROR(OFFSET(Tab.Const.ConstrBorder!$A$1,MATCH(Q140,Tab.Const.ConstrBorder!$A:$A,0)-1,MATCH(Y$87,Tab.Const.ConstrBorder!$1:$1,0)-1),0)</f>
        <v>0</v>
      </c>
      <c r="Z140" s="18">
        <f t="shared" si="27"/>
        <v>1850</v>
      </c>
      <c r="AA140" s="17">
        <f>MATCH(Z140,Tab.Year.Period!$11:$11,1)-3</f>
        <v>1</v>
      </c>
      <c r="AB140" s="17">
        <f>MATCH(AB$88&amp;"."&amp;TEXT(AA140,"00"),Tab.U.Default!$A:$A,0)</f>
        <v>24</v>
      </c>
      <c r="AC140" s="105">
        <f ca="1">OFFSET(Tab.U.Default!$A$1,$AB140-1,MATCH("U_Class_"&amp;IF($J140="TopCeiling","UpperCeiling",$J140)&amp;"_"&amp;AC$87,Tab.U.Default!$1:$1,0)-1)</f>
        <v>1.7</v>
      </c>
      <c r="AD140" s="105">
        <f ca="1">OFFSET(Tab.U.Default!$A$1,$AB140-1,MATCH("U_Class_"&amp;IF($J140="TopCeiling","UpperCeiling",$J140)&amp;"_"&amp;AD$87,Tab.U.Default!$1:$1,0)-1)</f>
        <v>1.7</v>
      </c>
      <c r="AE140" s="105">
        <f ca="1">OFFSET(Tab.U.Default!$A$1,$AB140-1,MATCH("U_Class_"&amp;IF($J140="TopCeiling","UpperCeiling",$J140)&amp;"_"&amp;AE$87,Tab.U.Default!$1:$1,0)-1)</f>
        <v>1.9</v>
      </c>
      <c r="AF140" s="26">
        <f t="shared" ca="1" si="0"/>
        <v>1.9</v>
      </c>
      <c r="AG140" s="26">
        <f t="shared" ca="1" si="48"/>
        <v>1.9000000000000001</v>
      </c>
      <c r="AH140" s="18" t="str">
        <f t="shared" si="59"/>
        <v>Refurbish</v>
      </c>
      <c r="AI140" s="18" t="str">
        <f t="shared" si="28"/>
        <v>Add</v>
      </c>
      <c r="AJ140" s="18">
        <f t="shared" si="3"/>
        <v>2016</v>
      </c>
      <c r="AK140" s="17">
        <f>MATCH(AJ140,Tab.Year.Period!$11:$11,1)-3</f>
        <v>12</v>
      </c>
      <c r="AL140" s="17">
        <f>MATCH(AL$88&amp;"."&amp;TEXT(AK140,"00"),Tab.Insulation.Default!$A:$A,0)</f>
        <v>23</v>
      </c>
      <c r="AM140" s="20" t="e">
        <f ca="1">IF(ISNA(IF(S140="",#N/A,S140)),OFFSET(Tab.Insulation.Default!$A$1,$AL140-1,MATCH(AM$87&amp;"_"&amp;$K140,Tab.Insulation.Default!$1:$1,0)-1),#N/A)</f>
        <v>#N/A</v>
      </c>
      <c r="AN140" s="27">
        <f t="shared" si="29"/>
        <v>12</v>
      </c>
      <c r="AO140" s="22">
        <f ca="1">IF(ISNA(IF(V140="",#N/A,V140)),OFFSET(Tab.Insulation.Default!$A$1,$AL140-1,MATCH(AO$87&amp;"_"&amp;$K140,Tab.Insulation.Default!$1:$1,0)-1),#N/A)</f>
        <v>3.5000000000000003E-2</v>
      </c>
      <c r="AP140" s="23">
        <f t="shared" ca="1" si="30"/>
        <v>3.5000000000000003E-2</v>
      </c>
      <c r="AQ140" s="29" t="str">
        <f t="shared" si="60"/>
        <v>Gen.Refurbished.12</v>
      </c>
      <c r="AR140" s="17">
        <f>MATCH(AR$88&amp;"."&amp;AQ140,Tab.Measure.f.Default!$A:$A,0)</f>
        <v>23</v>
      </c>
      <c r="AS140" s="21">
        <f ca="1">OFFSET(Tab.Measure.f.Default!$A$1,AR140-1,MATCH(AS$87&amp;"_"&amp;$J140,Tab.Measure.f.Default!$1:$1,0)-1)</f>
        <v>0.75</v>
      </c>
      <c r="AT140" s="29" t="str">
        <f t="shared" si="61"/>
        <v>MUH.NA.01</v>
      </c>
      <c r="AU140" s="17">
        <f>MATCH(AU$88&amp;"."&amp;AT140,Tab.Measure.f.Default!$A:$A,0)</f>
        <v>36</v>
      </c>
      <c r="AV140" s="21">
        <f ca="1">OFFSET(Tab.Measure.f.Default!$A$1,AU140-1,MATCH(AV$87&amp;"_"&amp;$J140,Tab.Measure.f.Default!$1:$1,0)-1)</f>
        <v>0.37</v>
      </c>
      <c r="AW140" s="30">
        <f t="shared" si="33"/>
        <v>1</v>
      </c>
      <c r="AX140" s="9">
        <f t="shared" ca="1" si="62"/>
        <v>0.52631578947368418</v>
      </c>
      <c r="AY140" s="9">
        <f t="shared" ca="1" si="63"/>
        <v>3.4285714285714279</v>
      </c>
      <c r="AZ140" s="9">
        <f t="shared" ref="AZ140:AZ169" ca="1" si="89">AX140+AY140</f>
        <v>3.954887218045112</v>
      </c>
      <c r="BA140" s="9">
        <f t="shared" ref="BA140:BA169" ca="1" si="90">1/AZ140</f>
        <v>0.25285171102661602</v>
      </c>
      <c r="BB140" s="9">
        <f t="shared" ca="1" si="64"/>
        <v>0.25285171102661602</v>
      </c>
      <c r="BC140" s="32" t="str">
        <f t="shared" si="65"/>
        <v>D</v>
      </c>
      <c r="BD140" s="20" t="str">
        <f ca="1">OFFSET(Tab.Uncertainty.Levels!$A$1,MATCH(BD$88,Tab.Uncertainty.Levels!$A:$A,0)-1,MATCH(BD$87&amp;"_"&amp;BC140,Tab.Uncertainty.Levels!$1:$1,0)-1)</f>
        <v>Use of default values; building constructed until 1983</v>
      </c>
      <c r="BE140" s="24">
        <f ca="1">OFFSET(Tab.Uncertainty.Levels!$A$1,MATCH(BE$88,Tab.Uncertainty.Levels!$A:$A,0)-1,MATCH(BE$87&amp;"_"&amp;BC140,Tab.Uncertainty.Levels!$1:$1,0)-1)</f>
        <v>0.3</v>
      </c>
      <c r="BF140" s="32" t="str">
        <f t="shared" si="66"/>
        <v>-</v>
      </c>
      <c r="BG140" s="20" t="e">
        <f ca="1">OFFSET(Tab.Uncertainty.Levels!$A$1,MATCH(BG$88,Tab.Uncertainty.Levels!$A:$A,0)-1,MATCH(BG$87&amp;"_"&amp;BF140,Tab.Uncertainty.Levels!$1:$1,0)-1)</f>
        <v>#N/A</v>
      </c>
      <c r="BH140" s="24" t="e">
        <f ca="1">OFFSET(Tab.Uncertainty.Levels!$A$1,MATCH(BH$88,Tab.Uncertainty.Levels!$A:$A,0)-1,MATCH(BH$87&amp;"_"&amp;BF140,Tab.Uncertainty.Levels!$1:$1,0)-1)</f>
        <v>#N/A</v>
      </c>
      <c r="BI140" s="32" t="str">
        <f t="shared" si="31"/>
        <v>D</v>
      </c>
      <c r="BJ140" s="13">
        <f ca="1">IF(BF140="-",BE140,BH140)</f>
        <v>0.3</v>
      </c>
      <c r="BK140" s="32" t="str">
        <f>IF(OR($L140="NoDataSource",IFERROR(IF($S140="",#N/A,$S140),0)=0),IF(IFERROR(IF(U140="",#N/A,U140),0)=0,"E","D"),IF($L140="DesignDataPlusQA","A",IF($L140="DesignData","B","C")))</f>
        <v>C</v>
      </c>
      <c r="BL140" s="20" t="str">
        <f ca="1">OFFSET(Tab.Uncertainty.Levels!$A$1,MATCH(BL$88,Tab.Uncertainty.Levels!$A:$A,0)-1,MATCH(BL$87&amp;"_"&amp;BK140,Tab.Uncertainty.Levels!$1:$1,0)-1)</f>
        <v>Insulation thickness determined by inspection onsite / record or statement of owner</v>
      </c>
      <c r="BM140" s="24">
        <f ca="1">OFFSET(Tab.Uncertainty.Levels!$A$1,MATCH(BM$88,Tab.Uncertainty.Levels!$A:$A,0)-1,MATCH(BM$87&amp;"_"&amp;BK140,Tab.Uncertainty.Levels!$1:$1,0)-1)</f>
        <v>0.25</v>
      </c>
      <c r="BN140" s="34">
        <f ca="1">OFFSET(Tab.Uncertainty.Levels!$A$1,MATCH(BN$88,Tab.Uncertainty.Levels!$A:$A,0)-1,MATCH(BN$87&amp;"_"&amp;BK140,Tab.Uncertainty.Levels!$1:$1,0)-1)</f>
        <v>2</v>
      </c>
      <c r="BO140" s="13">
        <f ca="1">IFERROR(MIN(BM140,BN140/AN140),0)</f>
        <v>0.16666666666666666</v>
      </c>
      <c r="BP140" s="32" t="str">
        <f>IF(OR($L140="NoDataSource",IFERROR(IF($V140="",#N/A,$V140),0)=0),IF(IFERROR(IF(U140="",#N/A,U140),0)=0,"E","D"),IF($L140="DesignDataPlusQA","A",IF($L140="DesignData","B","C")))</f>
        <v>D</v>
      </c>
      <c r="BQ140" s="20" t="str">
        <f ca="1">OFFSET(Tab.Uncertainty.Levels!$A$1,MATCH(BQ$88,Tab.Uncertainty.Levels!$A:$A,0)-1,MATCH(BQ$87&amp;"_"&amp;BP140,Tab.Uncertainty.Levels!$1:$1,0)-1)</f>
        <v>Insulation available; no information about material</v>
      </c>
      <c r="BR140" s="97">
        <f ca="1">OFFSET(Tab.Uncertainty.Levels!$A$1,MATCH(BR$88,Tab.Uncertainty.Levels!$A:$A,0)-1,MATCH(BR$87&amp;"_"&amp;BP140,Tab.Uncertainty.Levels!$1:$1,0)-1)</f>
        <v>0.2</v>
      </c>
      <c r="BS140" s="32" t="str">
        <f>IF(L140="NoDataSource","D",IF(IFERROR(IF($T140="",#N/A,$T140),0)=0,IF(OR(IFERROR(IF($S140="",#N/A,$S140),0)&gt;0,$R140="Refurbish"),"D","E"),IF($L140="DesignDataPlusQA","A",IF($L140="DesignData","B","C"))))</f>
        <v>C</v>
      </c>
      <c r="BT140" s="20" t="str">
        <f ca="1">OFFSET(Tab.Uncertainty.Levels!$A$1,MATCH(BT$88,Tab.Uncertainty.Levels!$A:$A,0)-1,MATCH(BT$87&amp;"_"&amp;BS140,Tab.Uncertainty.Levels!$1:$1,0)-1)</f>
        <v>Insulation fraction determined by inspection onsite / record or statement of owner</v>
      </c>
      <c r="BU140" s="33">
        <f ca="1">OFFSET(Tab.Uncertainty.Levels!$A$1,MATCH(BU$88,Tab.Uncertainty.Levels!$A:$A,0)-1,MATCH(BU$87&amp;"_"&amp;BS140,Tab.Uncertainty.Levels!$1:$1,0)-1)</f>
        <v>0.2</v>
      </c>
      <c r="BV140" s="13">
        <f ca="1">IFERROR(MIN(BU140/AW140,1,(1-AW140)/AW140),0)</f>
        <v>0</v>
      </c>
      <c r="BW140" s="96">
        <f ca="1">ABS(1+(AW140*(1/(1+AN140/100/AP140*AG140)^2-1)))*BJ140*$AG140</f>
        <v>1.0094840174066394E-2</v>
      </c>
      <c r="BX140" s="96">
        <f ca="1">ABS(-AG140+1/(1/AG140+AN140/100/AP140))*BV140*AW140</f>
        <v>0</v>
      </c>
      <c r="BY140" s="96">
        <f ca="1">ABS(-AW140*AP140/((AP140/AG140+AN140/100)^2))*(BO140*AN140/100)</f>
        <v>3.653370729662133E-2</v>
      </c>
      <c r="BZ140" s="202">
        <f ca="1">ABS(AW140*AN140/100/(1/AG140*AP140+AN140/100)^2)*(BR140*AP140)</f>
        <v>4.3840448755945588E-2</v>
      </c>
      <c r="CA140" s="103">
        <f t="shared" ca="1" si="32"/>
        <v>5.7953451269944556E-2</v>
      </c>
      <c r="CB140" s="37">
        <f t="shared" ca="1" si="67"/>
        <v>3.9923954372623471E-2</v>
      </c>
      <c r="CC140" s="37">
        <f t="shared" ca="1" si="68"/>
        <v>0</v>
      </c>
      <c r="CD140" s="37">
        <f t="shared" ca="1" si="69"/>
        <v>0.14448669201520914</v>
      </c>
      <c r="CE140" s="37">
        <f t="shared" ca="1" si="70"/>
        <v>0.17338403041825093</v>
      </c>
      <c r="CF140" s="13">
        <f t="shared" ca="1" si="71"/>
        <v>0.22919936366910398</v>
      </c>
      <c r="CG140" s="101">
        <f ca="1">AG140</f>
        <v>1.9000000000000001</v>
      </c>
      <c r="CH140" s="101">
        <f>AW140</f>
        <v>1</v>
      </c>
      <c r="CI140" s="203">
        <f>IF(CH140&gt;0,AN140,0)</f>
        <v>12</v>
      </c>
      <c r="CJ140" s="102">
        <f ca="1">IF(AND(CH140&gt;0,CI140&gt;0),AP140,0)</f>
        <v>3.5000000000000003E-2</v>
      </c>
      <c r="CK140" s="102">
        <f ca="1">BB140</f>
        <v>0.25285171102661602</v>
      </c>
      <c r="CL140" s="37">
        <f t="shared" ca="1" si="49"/>
        <v>0.3</v>
      </c>
      <c r="CM140" s="37">
        <f t="shared" ca="1" si="50"/>
        <v>0</v>
      </c>
      <c r="CN140" s="37">
        <f t="shared" ca="1" si="51"/>
        <v>0.16666666666666666</v>
      </c>
      <c r="CO140" s="37">
        <f t="shared" ca="1" si="52"/>
        <v>0.2</v>
      </c>
      <c r="CP140" s="37">
        <f t="shared" ca="1" si="53"/>
        <v>0.22919936366910398</v>
      </c>
      <c r="CQ140" s="95">
        <f t="shared" ca="1" si="54"/>
        <v>0.57000000000000006</v>
      </c>
      <c r="CR140" s="95">
        <f t="shared" ca="1" si="55"/>
        <v>0</v>
      </c>
      <c r="CS140" s="95">
        <f t="shared" ca="1" si="56"/>
        <v>2</v>
      </c>
      <c r="CT140" s="103">
        <f t="shared" ca="1" si="57"/>
        <v>7.000000000000001E-3</v>
      </c>
      <c r="CU140" s="95">
        <f t="shared" ca="1" si="58"/>
        <v>5.7953451269944556E-2</v>
      </c>
      <c r="CV140" s="37">
        <f ca="1">$CB140^2/$CF140^2</f>
        <v>3.0341726272219489E-2</v>
      </c>
      <c r="CW140" s="37">
        <f ca="1">$CD140^2/$CF140^2</f>
        <v>0.39740093185564784</v>
      </c>
      <c r="CX140" s="37">
        <f ca="1">$CE140^2/$CF140^2</f>
        <v>0.57225734187213262</v>
      </c>
      <c r="CY140" s="37">
        <f ca="1">$CC140^2/$CF140^2</f>
        <v>0</v>
      </c>
      <c r="DA140" s="98" t="s">
        <v>214</v>
      </c>
      <c r="DB140" s="36">
        <f ca="1">OFFSET($A$1,ROW(DB140)-1,MATCH(DA140,$1:$1,0)-1)</f>
        <v>12</v>
      </c>
      <c r="DC140" s="9">
        <f ca="1">BB140</f>
        <v>0.25285171102661602</v>
      </c>
      <c r="DD140" s="9">
        <f ca="1">$DC140+$CA140</f>
        <v>0.31080516229656058</v>
      </c>
      <c r="DE140" s="9">
        <f ca="1">$DC140-$CA140</f>
        <v>0.19489825975667147</v>
      </c>
      <c r="DF140" s="10">
        <f t="shared" ca="1" si="87"/>
        <v>0.22919936366910398</v>
      </c>
    </row>
    <row r="141" spans="1:110" s="8" customFormat="1" ht="32.4" customHeight="1">
      <c r="A141" s="206" t="s">
        <v>577</v>
      </c>
      <c r="B141" s="208" t="s">
        <v>2344</v>
      </c>
      <c r="C141" s="206" t="str">
        <f t="shared" ca="1" si="88"/>
        <v>Parameter-Variation: U_Original = 1,50 W/(m²K) - Year_Building = 1920</v>
      </c>
      <c r="D141" s="206"/>
      <c r="E141" s="206" t="s">
        <v>199</v>
      </c>
      <c r="F141" s="206" t="str">
        <f t="shared" ca="1" si="84"/>
        <v>1,50 W/(m²K) - Year_Building = 1920</v>
      </c>
      <c r="G141" s="206" t="s">
        <v>2170</v>
      </c>
      <c r="H141" s="206" t="s">
        <v>2171</v>
      </c>
      <c r="I141" s="156" t="s">
        <v>80</v>
      </c>
      <c r="J141" s="156" t="s">
        <v>134</v>
      </c>
      <c r="K141" s="156" t="s">
        <v>155</v>
      </c>
      <c r="L141" s="156" t="s">
        <v>66</v>
      </c>
      <c r="M141" s="156" t="s">
        <v>188</v>
      </c>
      <c r="N141" s="7">
        <v>1920</v>
      </c>
      <c r="O141" s="156">
        <v>1</v>
      </c>
      <c r="P141" s="156">
        <v>0</v>
      </c>
      <c r="Q141" s="156" t="s">
        <v>435</v>
      </c>
      <c r="R141" s="156" t="s">
        <v>58</v>
      </c>
      <c r="S141" s="19">
        <v>12</v>
      </c>
      <c r="T141" s="19">
        <v>1</v>
      </c>
      <c r="U141" s="19">
        <v>2016</v>
      </c>
      <c r="V141" s="19" t="e">
        <v>#N/A</v>
      </c>
      <c r="W141" s="28" t="s">
        <v>59</v>
      </c>
      <c r="X141" s="19" t="e">
        <v>#N/A</v>
      </c>
      <c r="Y141" s="105">
        <f ca="1">IFERROR(OFFSET(Tab.Const.ConstrBorder!$A$1,MATCH(Q141,Tab.Const.ConstrBorder!$A:$A,0)-1,MATCH(Y$87,Tab.Const.ConstrBorder!$1:$1,0)-1),0)</f>
        <v>0</v>
      </c>
      <c r="Z141" s="18">
        <f t="shared" si="27"/>
        <v>1920</v>
      </c>
      <c r="AA141" s="17">
        <f>MATCH(Z141,Tab.Year.Period!$11:$11,1)-3</f>
        <v>3</v>
      </c>
      <c r="AB141" s="17">
        <f>MATCH(AB$88&amp;"."&amp;TEXT(AA141,"00"),Tab.U.Default!$A:$A,0)</f>
        <v>26</v>
      </c>
      <c r="AC141" s="105">
        <f ca="1">OFFSET(Tab.U.Default!$A$1,$AB141-1,MATCH("U_Class_"&amp;IF($J141="TopCeiling","UpperCeiling",$J141)&amp;"_"&amp;AC$87,Tab.U.Default!$1:$1,0)-1)</f>
        <v>1.5</v>
      </c>
      <c r="AD141" s="105">
        <f ca="1">OFFSET(Tab.U.Default!$A$1,$AB141-1,MATCH("U_Class_"&amp;IF($J141="TopCeiling","UpperCeiling",$J141)&amp;"_"&amp;AD$87,Tab.U.Default!$1:$1,0)-1)</f>
        <v>1.5</v>
      </c>
      <c r="AE141" s="105">
        <f ca="1">OFFSET(Tab.U.Default!$A$1,$AB141-1,MATCH("U_Class_"&amp;IF($J141="TopCeiling","UpperCeiling",$J141)&amp;"_"&amp;AE$87,Tab.U.Default!$1:$1,0)-1)</f>
        <v>1.5</v>
      </c>
      <c r="AF141" s="26">
        <f t="shared" ca="1" si="0"/>
        <v>1.5</v>
      </c>
      <c r="AG141" s="26">
        <f t="shared" ca="1" si="48"/>
        <v>1.5</v>
      </c>
      <c r="AH141" s="18" t="str">
        <f t="shared" si="59"/>
        <v>Refurbish</v>
      </c>
      <c r="AI141" s="18" t="str">
        <f t="shared" si="28"/>
        <v>Add</v>
      </c>
      <c r="AJ141" s="18">
        <f t="shared" si="3"/>
        <v>2016</v>
      </c>
      <c r="AK141" s="17">
        <f>MATCH(AJ141,Tab.Year.Period!$11:$11,1)-3</f>
        <v>12</v>
      </c>
      <c r="AL141" s="17">
        <f>MATCH(AL$88&amp;"."&amp;TEXT(AK141,"00"),Tab.Insulation.Default!$A:$A,0)</f>
        <v>23</v>
      </c>
      <c r="AM141" s="20" t="e">
        <f ca="1">IF(ISNA(IF(S141="",#N/A,S141)),OFFSET(Tab.Insulation.Default!$A$1,$AL141-1,MATCH(AM$87&amp;"_"&amp;$K141,Tab.Insulation.Default!$1:$1,0)-1),#N/A)</f>
        <v>#N/A</v>
      </c>
      <c r="AN141" s="27">
        <f t="shared" si="29"/>
        <v>12</v>
      </c>
      <c r="AO141" s="22">
        <f ca="1">IF(ISNA(IF(V141="",#N/A,V141)),OFFSET(Tab.Insulation.Default!$A$1,$AL141-1,MATCH(AO$87&amp;"_"&amp;$K141,Tab.Insulation.Default!$1:$1,0)-1),#N/A)</f>
        <v>3.5000000000000003E-2</v>
      </c>
      <c r="AP141" s="23">
        <f t="shared" ca="1" si="30"/>
        <v>3.5000000000000003E-2</v>
      </c>
      <c r="AQ141" s="29" t="str">
        <f t="shared" si="60"/>
        <v>Gen.Refurbished.12</v>
      </c>
      <c r="AR141" s="17">
        <f>MATCH(AR$88&amp;"."&amp;AQ141,Tab.Measure.f.Default!$A:$A,0)</f>
        <v>23</v>
      </c>
      <c r="AS141" s="21">
        <f ca="1">OFFSET(Tab.Measure.f.Default!$A$1,AR141-1,MATCH(AS$87&amp;"_"&amp;$J141,Tab.Measure.f.Default!$1:$1,0)-1)</f>
        <v>0.75</v>
      </c>
      <c r="AT141" s="29" t="str">
        <f t="shared" si="61"/>
        <v>MUH.NA.03</v>
      </c>
      <c r="AU141" s="17">
        <f>MATCH(AU$88&amp;"."&amp;AT141,Tab.Measure.f.Default!$A:$A,0)</f>
        <v>38</v>
      </c>
      <c r="AV141" s="21">
        <f ca="1">OFFSET(Tab.Measure.f.Default!$A$1,AU141-1,MATCH(AV$87&amp;"_"&amp;$J141,Tab.Measure.f.Default!$1:$1,0)-1)</f>
        <v>0.37</v>
      </c>
      <c r="AW141" s="30">
        <f t="shared" si="33"/>
        <v>1</v>
      </c>
      <c r="AX141" s="9">
        <f t="shared" ca="1" si="62"/>
        <v>0.66666666666666663</v>
      </c>
      <c r="AY141" s="9">
        <f t="shared" ca="1" si="63"/>
        <v>3.4285714285714279</v>
      </c>
      <c r="AZ141" s="9">
        <f t="shared" ca="1" si="89"/>
        <v>4.0952380952380949</v>
      </c>
      <c r="BA141" s="9">
        <f t="shared" ca="1" si="90"/>
        <v>0.24418604651162792</v>
      </c>
      <c r="BB141" s="9">
        <f t="shared" ca="1" si="64"/>
        <v>0.24418604651162792</v>
      </c>
      <c r="BC141" s="32" t="str">
        <f t="shared" si="65"/>
        <v>D</v>
      </c>
      <c r="BD141" s="20" t="str">
        <f ca="1">OFFSET(Tab.Uncertainty.Levels!$A$1,MATCH(BD$88,Tab.Uncertainty.Levels!$A:$A,0)-1,MATCH(BD$87&amp;"_"&amp;BC141,Tab.Uncertainty.Levels!$1:$1,0)-1)</f>
        <v>Use of default values; building constructed until 1983</v>
      </c>
      <c r="BE141" s="24">
        <f ca="1">OFFSET(Tab.Uncertainty.Levels!$A$1,MATCH(BE$88,Tab.Uncertainty.Levels!$A:$A,0)-1,MATCH(BE$87&amp;"_"&amp;BC141,Tab.Uncertainty.Levels!$1:$1,0)-1)</f>
        <v>0.3</v>
      </c>
      <c r="BF141" s="32" t="str">
        <f t="shared" si="66"/>
        <v>-</v>
      </c>
      <c r="BG141" s="20" t="e">
        <f ca="1">OFFSET(Tab.Uncertainty.Levels!$A$1,MATCH(BG$88,Tab.Uncertainty.Levels!$A:$A,0)-1,MATCH(BG$87&amp;"_"&amp;BF141,Tab.Uncertainty.Levels!$1:$1,0)-1)</f>
        <v>#N/A</v>
      </c>
      <c r="BH141" s="24" t="e">
        <f ca="1">OFFSET(Tab.Uncertainty.Levels!$A$1,MATCH(BH$88,Tab.Uncertainty.Levels!$A:$A,0)-1,MATCH(BH$87&amp;"_"&amp;BF141,Tab.Uncertainty.Levels!$1:$1,0)-1)</f>
        <v>#N/A</v>
      </c>
      <c r="BI141" s="32" t="str">
        <f t="shared" si="31"/>
        <v>D</v>
      </c>
      <c r="BJ141" s="13">
        <f ca="1">IF(BF141="-",BE141,BH141)</f>
        <v>0.3</v>
      </c>
      <c r="BK141" s="32" t="str">
        <f>IF(OR($L141="NoDataSource",IFERROR(IF($S141="",#N/A,$S141),0)=0),IF(IFERROR(IF(U141="",#N/A,U141),0)=0,"E","D"),IF($L141="DesignDataPlusQA","A",IF($L141="DesignData","B","C")))</f>
        <v>C</v>
      </c>
      <c r="BL141" s="20" t="str">
        <f ca="1">OFFSET(Tab.Uncertainty.Levels!$A$1,MATCH(BL$88,Tab.Uncertainty.Levels!$A:$A,0)-1,MATCH(BL$87&amp;"_"&amp;BK141,Tab.Uncertainty.Levels!$1:$1,0)-1)</f>
        <v>Insulation thickness determined by inspection onsite / record or statement of owner</v>
      </c>
      <c r="BM141" s="24">
        <f ca="1">OFFSET(Tab.Uncertainty.Levels!$A$1,MATCH(BM$88,Tab.Uncertainty.Levels!$A:$A,0)-1,MATCH(BM$87&amp;"_"&amp;BK141,Tab.Uncertainty.Levels!$1:$1,0)-1)</f>
        <v>0.25</v>
      </c>
      <c r="BN141" s="34">
        <f ca="1">OFFSET(Tab.Uncertainty.Levels!$A$1,MATCH(BN$88,Tab.Uncertainty.Levels!$A:$A,0)-1,MATCH(BN$87&amp;"_"&amp;BK141,Tab.Uncertainty.Levels!$1:$1,0)-1)</f>
        <v>2</v>
      </c>
      <c r="BO141" s="13">
        <f ca="1">IFERROR(MIN(BM141,BN141/AN141),0)</f>
        <v>0.16666666666666666</v>
      </c>
      <c r="BP141" s="32" t="str">
        <f>IF(OR($L141="NoDataSource",IFERROR(IF($V141="",#N/A,$V141),0)=0),IF(IFERROR(IF(U141="",#N/A,U141),0)=0,"E","D"),IF($L141="DesignDataPlusQA","A",IF($L141="DesignData","B","C")))</f>
        <v>D</v>
      </c>
      <c r="BQ141" s="20" t="str">
        <f ca="1">OFFSET(Tab.Uncertainty.Levels!$A$1,MATCH(BQ$88,Tab.Uncertainty.Levels!$A:$A,0)-1,MATCH(BQ$87&amp;"_"&amp;BP141,Tab.Uncertainty.Levels!$1:$1,0)-1)</f>
        <v>Insulation available; no information about material</v>
      </c>
      <c r="BR141" s="97">
        <f ca="1">OFFSET(Tab.Uncertainty.Levels!$A$1,MATCH(BR$88,Tab.Uncertainty.Levels!$A:$A,0)-1,MATCH(BR$87&amp;"_"&amp;BP141,Tab.Uncertainty.Levels!$1:$1,0)-1)</f>
        <v>0.2</v>
      </c>
      <c r="BS141" s="32" t="str">
        <f>IF(L141="NoDataSource","D",IF(IFERROR(IF($T141="",#N/A,$T141),0)=0,IF(OR(IFERROR(IF($S141="",#N/A,$S141),0)&gt;0,$R141="Refurbish"),"D","E"),IF($L141="DesignDataPlusQA","A",IF($L141="DesignData","B","C"))))</f>
        <v>C</v>
      </c>
      <c r="BT141" s="20" t="str">
        <f ca="1">OFFSET(Tab.Uncertainty.Levels!$A$1,MATCH(BT$88,Tab.Uncertainty.Levels!$A:$A,0)-1,MATCH(BT$87&amp;"_"&amp;BS141,Tab.Uncertainty.Levels!$1:$1,0)-1)</f>
        <v>Insulation fraction determined by inspection onsite / record or statement of owner</v>
      </c>
      <c r="BU141" s="33">
        <f ca="1">OFFSET(Tab.Uncertainty.Levels!$A$1,MATCH(BU$88,Tab.Uncertainty.Levels!$A:$A,0)-1,MATCH(BU$87&amp;"_"&amp;BS141,Tab.Uncertainty.Levels!$1:$1,0)-1)</f>
        <v>0.2</v>
      </c>
      <c r="BV141" s="13">
        <f ca="1">IFERROR(MIN(BU141/AW141,1,(1-AW141)/AW141),0)</f>
        <v>0</v>
      </c>
      <c r="BW141" s="96">
        <f ca="1">ABS(1+(AW141*(1/(1+AN141/100/AP141*AG141)^2-1)))*BJ141*$AG141</f>
        <v>1.1925365062195757E-2</v>
      </c>
      <c r="BX141" s="96">
        <f ca="1">ABS(-AG141+1/(1/AG141+AN141/100/AP141))*BV141*AW141</f>
        <v>0</v>
      </c>
      <c r="BY141" s="96">
        <f ca="1">ABS(-AW141*AP141/((AP141/AG141+AN141/100)^2))*(BO141*AN141/100)</f>
        <v>3.4072471606273663E-2</v>
      </c>
      <c r="BZ141" s="202">
        <f ca="1">ABS(AW141*AN141/100/(1/AG141*AP141+AN141/100)^2)*(BR141*AP141)</f>
        <v>4.0886965927528399E-2</v>
      </c>
      <c r="CA141" s="103">
        <f t="shared" ca="1" si="32"/>
        <v>5.4542567192843359E-2</v>
      </c>
      <c r="CB141" s="37">
        <f t="shared" ca="1" si="67"/>
        <v>4.8837209302325477E-2</v>
      </c>
      <c r="CC141" s="37">
        <f t="shared" ca="1" si="68"/>
        <v>0</v>
      </c>
      <c r="CD141" s="37">
        <f t="shared" ca="1" si="69"/>
        <v>0.13953488372093023</v>
      </c>
      <c r="CE141" s="37">
        <f t="shared" ca="1" si="70"/>
        <v>0.16744186046511628</v>
      </c>
      <c r="CF141" s="13">
        <f t="shared" ca="1" si="71"/>
        <v>0.22336479898021563</v>
      </c>
      <c r="CG141" s="101">
        <f ca="1">AG141</f>
        <v>1.5</v>
      </c>
      <c r="CH141" s="101">
        <f>AW141</f>
        <v>1</v>
      </c>
      <c r="CI141" s="203">
        <f>IF(CH141&gt;0,AN141,0)</f>
        <v>12</v>
      </c>
      <c r="CJ141" s="102">
        <f ca="1">IF(AND(CH141&gt;0,CI141&gt;0),AP141,0)</f>
        <v>3.5000000000000003E-2</v>
      </c>
      <c r="CK141" s="102">
        <f ca="1">BB141</f>
        <v>0.24418604651162792</v>
      </c>
      <c r="CL141" s="37">
        <f t="shared" ca="1" si="49"/>
        <v>0.3</v>
      </c>
      <c r="CM141" s="37">
        <f t="shared" ca="1" si="50"/>
        <v>0</v>
      </c>
      <c r="CN141" s="37">
        <f t="shared" ca="1" si="51"/>
        <v>0.16666666666666666</v>
      </c>
      <c r="CO141" s="37">
        <f t="shared" ca="1" si="52"/>
        <v>0.2</v>
      </c>
      <c r="CP141" s="37">
        <f t="shared" ca="1" si="53"/>
        <v>0.22336479898021563</v>
      </c>
      <c r="CQ141" s="95">
        <f t="shared" ca="1" si="54"/>
        <v>0.44999999999999996</v>
      </c>
      <c r="CR141" s="95">
        <f t="shared" ca="1" si="55"/>
        <v>0</v>
      </c>
      <c r="CS141" s="95">
        <f t="shared" ca="1" si="56"/>
        <v>2</v>
      </c>
      <c r="CT141" s="103">
        <f t="shared" ca="1" si="57"/>
        <v>7.000000000000001E-3</v>
      </c>
      <c r="CU141" s="95">
        <f t="shared" ca="1" si="58"/>
        <v>5.4542567192843359E-2</v>
      </c>
      <c r="CV141" s="37">
        <f ca="1">$CB141^2/$CF141^2</f>
        <v>4.7804878048780294E-2</v>
      </c>
      <c r="CW141" s="37">
        <f ca="1">$CD141^2/$CF141^2</f>
        <v>0.39024390243902451</v>
      </c>
      <c r="CX141" s="37">
        <f ca="1">$CE141^2/$CF141^2</f>
        <v>0.56195121951219518</v>
      </c>
      <c r="CY141" s="37">
        <f ca="1">$CC141^2/$CF141^2</f>
        <v>0</v>
      </c>
      <c r="DA141" s="98" t="s">
        <v>214</v>
      </c>
      <c r="DB141" s="36">
        <f ca="1">OFFSET($A$1,ROW(DB141)-1,MATCH(DA141,$1:$1,0)-1)</f>
        <v>12</v>
      </c>
      <c r="DC141" s="9">
        <f ca="1">BB141</f>
        <v>0.24418604651162792</v>
      </c>
      <c r="DD141" s="9">
        <f ca="1">$DC141+$CA141</f>
        <v>0.29872861370447129</v>
      </c>
      <c r="DE141" s="9">
        <f ca="1">$DC141-$CA141</f>
        <v>0.18964347931878456</v>
      </c>
      <c r="DF141" s="10">
        <f t="shared" ca="1" si="87"/>
        <v>0.22336479898021566</v>
      </c>
    </row>
    <row r="142" spans="1:110" s="8" customFormat="1" ht="32.4" customHeight="1">
      <c r="A142" s="206" t="s">
        <v>578</v>
      </c>
      <c r="B142" s="208" t="s">
        <v>2344</v>
      </c>
      <c r="C142" s="206" t="str">
        <f t="shared" ca="1" si="88"/>
        <v>Parameter-Variation: U_Original = 1,20 W/(m²K) - Year_Building = 1960</v>
      </c>
      <c r="D142" s="206"/>
      <c r="E142" s="206" t="s">
        <v>199</v>
      </c>
      <c r="F142" s="206" t="str">
        <f t="shared" ca="1" si="84"/>
        <v>1,20 W/(m²K) - Year_Building = 1960</v>
      </c>
      <c r="G142" s="206" t="s">
        <v>2170</v>
      </c>
      <c r="H142" s="206" t="s">
        <v>2171</v>
      </c>
      <c r="I142" s="156" t="s">
        <v>80</v>
      </c>
      <c r="J142" s="156" t="s">
        <v>134</v>
      </c>
      <c r="K142" s="156" t="s">
        <v>155</v>
      </c>
      <c r="L142" s="156" t="s">
        <v>66</v>
      </c>
      <c r="M142" s="156" t="s">
        <v>188</v>
      </c>
      <c r="N142" s="7">
        <v>1960</v>
      </c>
      <c r="O142" s="156">
        <v>1</v>
      </c>
      <c r="P142" s="156">
        <v>0</v>
      </c>
      <c r="Q142" s="156" t="s">
        <v>435</v>
      </c>
      <c r="R142" s="156" t="s">
        <v>58</v>
      </c>
      <c r="S142" s="19">
        <v>12</v>
      </c>
      <c r="T142" s="19">
        <v>1</v>
      </c>
      <c r="U142" s="19">
        <v>2016</v>
      </c>
      <c r="V142" s="19" t="e">
        <v>#N/A</v>
      </c>
      <c r="W142" s="28" t="s">
        <v>59</v>
      </c>
      <c r="X142" s="19" t="e">
        <v>#N/A</v>
      </c>
      <c r="Y142" s="105">
        <f ca="1">IFERROR(OFFSET(Tab.Const.ConstrBorder!$A$1,MATCH(Q142,Tab.Const.ConstrBorder!$A:$A,0)-1,MATCH(Y$87,Tab.Const.ConstrBorder!$1:$1,0)-1),0)</f>
        <v>0</v>
      </c>
      <c r="Z142" s="18">
        <f t="shared" si="27"/>
        <v>1960</v>
      </c>
      <c r="AA142" s="17">
        <f>MATCH(Z142,Tab.Year.Period!$11:$11,1)-3</f>
        <v>5</v>
      </c>
      <c r="AB142" s="17">
        <f>MATCH(AB$88&amp;"."&amp;TEXT(AA142,"00"),Tab.U.Default!$A:$A,0)</f>
        <v>28</v>
      </c>
      <c r="AC142" s="105">
        <f ca="1">OFFSET(Tab.U.Default!$A$1,$AB142-1,MATCH("U_Class_"&amp;IF($J142="TopCeiling","UpperCeiling",$J142)&amp;"_"&amp;AC$87,Tab.U.Default!$1:$1,0)-1)</f>
        <v>1.2</v>
      </c>
      <c r="AD142" s="105">
        <f ca="1">OFFSET(Tab.U.Default!$A$1,$AB142-1,MATCH("U_Class_"&amp;IF($J142="TopCeiling","UpperCeiling",$J142)&amp;"_"&amp;AD$87,Tab.U.Default!$1:$1,0)-1)</f>
        <v>1.2</v>
      </c>
      <c r="AE142" s="105">
        <f ca="1">OFFSET(Tab.U.Default!$A$1,$AB142-1,MATCH("U_Class_"&amp;IF($J142="TopCeiling","UpperCeiling",$J142)&amp;"_"&amp;AE$87,Tab.U.Default!$1:$1,0)-1)</f>
        <v>0.8</v>
      </c>
      <c r="AF142" s="26">
        <f t="shared" ca="1" si="0"/>
        <v>1.2</v>
      </c>
      <c r="AG142" s="26">
        <f t="shared" ca="1" si="48"/>
        <v>1.2</v>
      </c>
      <c r="AH142" s="18" t="str">
        <f t="shared" si="59"/>
        <v>Refurbish</v>
      </c>
      <c r="AI142" s="18" t="str">
        <f t="shared" si="28"/>
        <v>Add</v>
      </c>
      <c r="AJ142" s="18">
        <f t="shared" si="3"/>
        <v>2016</v>
      </c>
      <c r="AK142" s="17">
        <f>MATCH(AJ142,Tab.Year.Period!$11:$11,1)-3</f>
        <v>12</v>
      </c>
      <c r="AL142" s="17">
        <f>MATCH(AL$88&amp;"."&amp;TEXT(AK142,"00"),Tab.Insulation.Default!$A:$A,0)</f>
        <v>23</v>
      </c>
      <c r="AM142" s="20" t="e">
        <f ca="1">IF(ISNA(IF(S142="",#N/A,S142)),OFFSET(Tab.Insulation.Default!$A$1,$AL142-1,MATCH(AM$87&amp;"_"&amp;$K142,Tab.Insulation.Default!$1:$1,0)-1),#N/A)</f>
        <v>#N/A</v>
      </c>
      <c r="AN142" s="27">
        <f t="shared" si="29"/>
        <v>12</v>
      </c>
      <c r="AO142" s="22">
        <f ca="1">IF(ISNA(IF(V142="",#N/A,V142)),OFFSET(Tab.Insulation.Default!$A$1,$AL142-1,MATCH(AO$87&amp;"_"&amp;$K142,Tab.Insulation.Default!$1:$1,0)-1),#N/A)</f>
        <v>3.5000000000000003E-2</v>
      </c>
      <c r="AP142" s="23">
        <f t="shared" ca="1" si="30"/>
        <v>3.5000000000000003E-2</v>
      </c>
      <c r="AQ142" s="29" t="str">
        <f t="shared" si="60"/>
        <v>Gen.Refurbished.12</v>
      </c>
      <c r="AR142" s="17">
        <f>MATCH(AR$88&amp;"."&amp;AQ142,Tab.Measure.f.Default!$A:$A,0)</f>
        <v>23</v>
      </c>
      <c r="AS142" s="21">
        <f ca="1">OFFSET(Tab.Measure.f.Default!$A$1,AR142-1,MATCH(AS$87&amp;"_"&amp;$J142,Tab.Measure.f.Default!$1:$1,0)-1)</f>
        <v>0.75</v>
      </c>
      <c r="AT142" s="29" t="str">
        <f t="shared" si="61"/>
        <v>MUH.NA.05</v>
      </c>
      <c r="AU142" s="17">
        <f>MATCH(AU$88&amp;"."&amp;AT142,Tab.Measure.f.Default!$A:$A,0)</f>
        <v>40</v>
      </c>
      <c r="AV142" s="21">
        <f ca="1">OFFSET(Tab.Measure.f.Default!$A$1,AU142-1,MATCH(AV$87&amp;"_"&amp;$J142,Tab.Measure.f.Default!$1:$1,0)-1)</f>
        <v>0.37</v>
      </c>
      <c r="AW142" s="30">
        <f t="shared" si="33"/>
        <v>1</v>
      </c>
      <c r="AX142" s="9">
        <f t="shared" ca="1" si="62"/>
        <v>0.83333333333333337</v>
      </c>
      <c r="AY142" s="9">
        <f t="shared" ca="1" si="63"/>
        <v>3.4285714285714279</v>
      </c>
      <c r="AZ142" s="9">
        <f t="shared" ca="1" si="89"/>
        <v>4.261904761904761</v>
      </c>
      <c r="BA142" s="9">
        <f t="shared" ca="1" si="90"/>
        <v>0.23463687150837995</v>
      </c>
      <c r="BB142" s="9">
        <f t="shared" ca="1" si="64"/>
        <v>0.23463687150837995</v>
      </c>
      <c r="BC142" s="32" t="str">
        <f t="shared" si="65"/>
        <v>D</v>
      </c>
      <c r="BD142" s="20" t="str">
        <f ca="1">OFFSET(Tab.Uncertainty.Levels!$A$1,MATCH(BD$88,Tab.Uncertainty.Levels!$A:$A,0)-1,MATCH(BD$87&amp;"_"&amp;BC142,Tab.Uncertainty.Levels!$1:$1,0)-1)</f>
        <v>Use of default values; building constructed until 1983</v>
      </c>
      <c r="BE142" s="24">
        <f ca="1">OFFSET(Tab.Uncertainty.Levels!$A$1,MATCH(BE$88,Tab.Uncertainty.Levels!$A:$A,0)-1,MATCH(BE$87&amp;"_"&amp;BC142,Tab.Uncertainty.Levels!$1:$1,0)-1)</f>
        <v>0.3</v>
      </c>
      <c r="BF142" s="32" t="str">
        <f t="shared" si="66"/>
        <v>-</v>
      </c>
      <c r="BG142" s="20" t="e">
        <f ca="1">OFFSET(Tab.Uncertainty.Levels!$A$1,MATCH(BG$88,Tab.Uncertainty.Levels!$A:$A,0)-1,MATCH(BG$87&amp;"_"&amp;BF142,Tab.Uncertainty.Levels!$1:$1,0)-1)</f>
        <v>#N/A</v>
      </c>
      <c r="BH142" s="24" t="e">
        <f ca="1">OFFSET(Tab.Uncertainty.Levels!$A$1,MATCH(BH$88,Tab.Uncertainty.Levels!$A:$A,0)-1,MATCH(BH$87&amp;"_"&amp;BF142,Tab.Uncertainty.Levels!$1:$1,0)-1)</f>
        <v>#N/A</v>
      </c>
      <c r="BI142" s="32" t="str">
        <f t="shared" si="31"/>
        <v>D</v>
      </c>
      <c r="BJ142" s="13">
        <f ca="1">IF(BF142="-",BE142,BH142)</f>
        <v>0.3</v>
      </c>
      <c r="BK142" s="32" t="str">
        <f>IF(OR($L142="NoDataSource",IFERROR(IF($S142="",#N/A,$S142),0)=0),IF(IFERROR(IF(U142="",#N/A,U142),0)=0,"E","D"),IF($L142="DesignDataPlusQA","A",IF($L142="DesignData","B","C")))</f>
        <v>C</v>
      </c>
      <c r="BL142" s="20" t="str">
        <f ca="1">OFFSET(Tab.Uncertainty.Levels!$A$1,MATCH(BL$88,Tab.Uncertainty.Levels!$A:$A,0)-1,MATCH(BL$87&amp;"_"&amp;BK142,Tab.Uncertainty.Levels!$1:$1,0)-1)</f>
        <v>Insulation thickness determined by inspection onsite / record or statement of owner</v>
      </c>
      <c r="BM142" s="24">
        <f ca="1">OFFSET(Tab.Uncertainty.Levels!$A$1,MATCH(BM$88,Tab.Uncertainty.Levels!$A:$A,0)-1,MATCH(BM$87&amp;"_"&amp;BK142,Tab.Uncertainty.Levels!$1:$1,0)-1)</f>
        <v>0.25</v>
      </c>
      <c r="BN142" s="34">
        <f ca="1">OFFSET(Tab.Uncertainty.Levels!$A$1,MATCH(BN$88,Tab.Uncertainty.Levels!$A:$A,0)-1,MATCH(BN$87&amp;"_"&amp;BK142,Tab.Uncertainty.Levels!$1:$1,0)-1)</f>
        <v>2</v>
      </c>
      <c r="BO142" s="13">
        <f ca="1">IFERROR(MIN(BM142,BN142/AN142),0)</f>
        <v>0.16666666666666666</v>
      </c>
      <c r="BP142" s="32" t="str">
        <f>IF(OR($L142="NoDataSource",IFERROR(IF($V142="",#N/A,$V142),0)=0),IF(IFERROR(IF(U142="",#N/A,U142),0)=0,"E","D"),IF($L142="DesignDataPlusQA","A",IF($L142="DesignData","B","C")))</f>
        <v>D</v>
      </c>
      <c r="BQ142" s="20" t="str">
        <f ca="1">OFFSET(Tab.Uncertainty.Levels!$A$1,MATCH(BQ$88,Tab.Uncertainty.Levels!$A:$A,0)-1,MATCH(BQ$87&amp;"_"&amp;BP142,Tab.Uncertainty.Levels!$1:$1,0)-1)</f>
        <v>Insulation available; no information about material</v>
      </c>
      <c r="BR142" s="97">
        <f ca="1">OFFSET(Tab.Uncertainty.Levels!$A$1,MATCH(BR$88,Tab.Uncertainty.Levels!$A:$A,0)-1,MATCH(BR$87&amp;"_"&amp;BP142,Tab.Uncertainty.Levels!$1:$1,0)-1)</f>
        <v>0.2</v>
      </c>
      <c r="BS142" s="32" t="str">
        <f>IF(L142="NoDataSource","D",IF(IFERROR(IF($T142="",#N/A,$T142),0)=0,IF(OR(IFERROR(IF($S142="",#N/A,$S142),0)&gt;0,$R142="Refurbish"),"D","E"),IF($L142="DesignDataPlusQA","A",IF($L142="DesignData","B","C"))))</f>
        <v>C</v>
      </c>
      <c r="BT142" s="20" t="str">
        <f ca="1">OFFSET(Tab.Uncertainty.Levels!$A$1,MATCH(BT$88,Tab.Uncertainty.Levels!$A:$A,0)-1,MATCH(BT$87&amp;"_"&amp;BS142,Tab.Uncertainty.Levels!$1:$1,0)-1)</f>
        <v>Insulation fraction determined by inspection onsite / record or statement of owner</v>
      </c>
      <c r="BU142" s="33">
        <f ca="1">OFFSET(Tab.Uncertainty.Levels!$A$1,MATCH(BU$88,Tab.Uncertainty.Levels!$A:$A,0)-1,MATCH(BU$87&amp;"_"&amp;BS142,Tab.Uncertainty.Levels!$1:$1,0)-1)</f>
        <v>0.2</v>
      </c>
      <c r="BV142" s="13">
        <f ca="1">IFERROR(MIN(BU142/AW142,1,(1-AW142)/AW142),0)</f>
        <v>0</v>
      </c>
      <c r="BW142" s="96">
        <f ca="1">ABS(1+(AW142*(1/(1+AN142/100/AP142*AG142)^2-1)))*BJ142*$AG142</f>
        <v>1.3763615367809984E-2</v>
      </c>
      <c r="BX142" s="96">
        <f ca="1">ABS(-AG142+1/(1/AG142+AN142/100/AP142))*BV142*AW142</f>
        <v>0</v>
      </c>
      <c r="BY142" s="96">
        <f ca="1">ABS(-AW142*AP142/((AP142/AG142+AN142/100)^2))*(BO142*AN142/100)</f>
        <v>3.1459692269279985E-2</v>
      </c>
      <c r="BZ142" s="202">
        <f ca="1">ABS(AW142*AN142/100/(1/AG142*AP142+AN142/100)^2)*(BR142*AP142)</f>
        <v>3.775163072313599E-2</v>
      </c>
      <c r="CA142" s="103">
        <f t="shared" ca="1" si="32"/>
        <v>5.1032685290182747E-2</v>
      </c>
      <c r="CB142" s="37">
        <f t="shared" ca="1" si="67"/>
        <v>5.8659217877094917E-2</v>
      </c>
      <c r="CC142" s="37">
        <f t="shared" ca="1" si="68"/>
        <v>0</v>
      </c>
      <c r="CD142" s="37">
        <f t="shared" ca="1" si="69"/>
        <v>0.13407821229050276</v>
      </c>
      <c r="CE142" s="37">
        <f t="shared" ca="1" si="70"/>
        <v>0.16089385474860335</v>
      </c>
      <c r="CF142" s="13">
        <f t="shared" ca="1" si="71"/>
        <v>0.2174964444510169</v>
      </c>
      <c r="CG142" s="101">
        <f ca="1">AG142</f>
        <v>1.2</v>
      </c>
      <c r="CH142" s="101">
        <f>AW142</f>
        <v>1</v>
      </c>
      <c r="CI142" s="203">
        <f>IF(CH142&gt;0,AN142,0)</f>
        <v>12</v>
      </c>
      <c r="CJ142" s="102">
        <f ca="1">IF(AND(CH142&gt;0,CI142&gt;0),AP142,0)</f>
        <v>3.5000000000000003E-2</v>
      </c>
      <c r="CK142" s="102">
        <f ca="1">BB142</f>
        <v>0.23463687150837995</v>
      </c>
      <c r="CL142" s="37">
        <f t="shared" ca="1" si="49"/>
        <v>0.3</v>
      </c>
      <c r="CM142" s="37">
        <f t="shared" ca="1" si="50"/>
        <v>0</v>
      </c>
      <c r="CN142" s="37">
        <f t="shared" ca="1" si="51"/>
        <v>0.16666666666666666</v>
      </c>
      <c r="CO142" s="37">
        <f t="shared" ca="1" si="52"/>
        <v>0.2</v>
      </c>
      <c r="CP142" s="37">
        <f t="shared" ca="1" si="53"/>
        <v>0.2174964444510169</v>
      </c>
      <c r="CQ142" s="95">
        <f t="shared" ca="1" si="54"/>
        <v>0.36</v>
      </c>
      <c r="CR142" s="95">
        <f t="shared" ca="1" si="55"/>
        <v>0</v>
      </c>
      <c r="CS142" s="95">
        <f t="shared" ca="1" si="56"/>
        <v>2</v>
      </c>
      <c r="CT142" s="103">
        <f t="shared" ca="1" si="57"/>
        <v>7.000000000000001E-3</v>
      </c>
      <c r="CU142" s="95">
        <f t="shared" ca="1" si="58"/>
        <v>5.1032685290182747E-2</v>
      </c>
      <c r="CV142" s="37">
        <f ca="1">$CB142^2/$CF142^2</f>
        <v>7.2739148506620652E-2</v>
      </c>
      <c r="CW142" s="37">
        <f ca="1">$CD142^2/$CF142^2</f>
        <v>0.38002493913663088</v>
      </c>
      <c r="CX142" s="37">
        <f ca="1">$CE142^2/$CF142^2</f>
        <v>0.54723591235674873</v>
      </c>
      <c r="CY142" s="37">
        <f ca="1">$CC142^2/$CF142^2</f>
        <v>0</v>
      </c>
      <c r="DA142" s="98" t="s">
        <v>214</v>
      </c>
      <c r="DB142" s="36">
        <f ca="1">OFFSET($A$1,ROW(DB142)-1,MATCH(DA142,$1:$1,0)-1)</f>
        <v>12</v>
      </c>
      <c r="DC142" s="9">
        <f ca="1">BB142</f>
        <v>0.23463687150837995</v>
      </c>
      <c r="DD142" s="9">
        <f ca="1">$DC142+$CA142</f>
        <v>0.28566955679856271</v>
      </c>
      <c r="DE142" s="9">
        <f ca="1">$DC142-$CA142</f>
        <v>0.18360418621819719</v>
      </c>
      <c r="DF142" s="10">
        <f t="shared" ca="1" si="87"/>
        <v>0.21749644445101696</v>
      </c>
    </row>
    <row r="143" spans="1:110" s="8" customFormat="1" ht="32.4" customHeight="1">
      <c r="A143" s="206" t="s">
        <v>579</v>
      </c>
      <c r="B143" s="208" t="s">
        <v>2344</v>
      </c>
      <c r="C143" s="206" t="str">
        <f t="shared" ca="1" si="88"/>
        <v>Parameter-Variation: U_Original = 1,00 W/(m²K) - Year_Building = 1970</v>
      </c>
      <c r="D143" s="206"/>
      <c r="E143" s="206" t="s">
        <v>199</v>
      </c>
      <c r="F143" s="206" t="str">
        <f t="shared" ca="1" si="84"/>
        <v>1,00 W/(m²K) - Year_Building = 1970</v>
      </c>
      <c r="G143" s="206" t="s">
        <v>2170</v>
      </c>
      <c r="H143" s="206" t="s">
        <v>2171</v>
      </c>
      <c r="I143" s="156" t="s">
        <v>80</v>
      </c>
      <c r="J143" s="156" t="s">
        <v>134</v>
      </c>
      <c r="K143" s="156" t="s">
        <v>155</v>
      </c>
      <c r="L143" s="156" t="s">
        <v>66</v>
      </c>
      <c r="M143" s="156" t="s">
        <v>188</v>
      </c>
      <c r="N143" s="7">
        <v>1970</v>
      </c>
      <c r="O143" s="156">
        <v>1</v>
      </c>
      <c r="P143" s="156">
        <v>0</v>
      </c>
      <c r="Q143" s="156" t="s">
        <v>435</v>
      </c>
      <c r="R143" s="156" t="s">
        <v>58</v>
      </c>
      <c r="S143" s="19">
        <v>12</v>
      </c>
      <c r="T143" s="19">
        <v>1</v>
      </c>
      <c r="U143" s="19">
        <v>2016</v>
      </c>
      <c r="V143" s="19" t="e">
        <v>#N/A</v>
      </c>
      <c r="W143" s="28" t="s">
        <v>59</v>
      </c>
      <c r="X143" s="19" t="e">
        <v>#N/A</v>
      </c>
      <c r="Y143" s="105">
        <f ca="1">IFERROR(OFFSET(Tab.Const.ConstrBorder!$A$1,MATCH(Q143,Tab.Const.ConstrBorder!$A:$A,0)-1,MATCH(Y$87,Tab.Const.ConstrBorder!$1:$1,0)-1),0)</f>
        <v>0</v>
      </c>
      <c r="Z143" s="18">
        <f t="shared" si="27"/>
        <v>1970</v>
      </c>
      <c r="AA143" s="17">
        <f>MATCH(Z143,Tab.Year.Period!$11:$11,1)-3</f>
        <v>6</v>
      </c>
      <c r="AB143" s="17">
        <f>MATCH(AB$88&amp;"."&amp;TEXT(AA143,"00"),Tab.U.Default!$A:$A,0)</f>
        <v>29</v>
      </c>
      <c r="AC143" s="105">
        <f ca="1">OFFSET(Tab.U.Default!$A$1,$AB143-1,MATCH("U_Class_"&amp;IF($J143="TopCeiling","UpperCeiling",$J143)&amp;"_"&amp;AC$87,Tab.U.Default!$1:$1,0)-1)</f>
        <v>1</v>
      </c>
      <c r="AD143" s="105">
        <f ca="1">OFFSET(Tab.U.Default!$A$1,$AB143-1,MATCH("U_Class_"&amp;IF($J143="TopCeiling","UpperCeiling",$J143)&amp;"_"&amp;AD$87,Tab.U.Default!$1:$1,0)-1)</f>
        <v>1</v>
      </c>
      <c r="AE143" s="105">
        <f ca="1">OFFSET(Tab.U.Default!$A$1,$AB143-1,MATCH("U_Class_"&amp;IF($J143="TopCeiling","UpperCeiling",$J143)&amp;"_"&amp;AE$87,Tab.U.Default!$1:$1,0)-1)</f>
        <v>0.6</v>
      </c>
      <c r="AF143" s="26">
        <f t="shared" ca="1" si="0"/>
        <v>1</v>
      </c>
      <c r="AG143" s="26">
        <f t="shared" ca="1" si="48"/>
        <v>1</v>
      </c>
      <c r="AH143" s="18" t="str">
        <f t="shared" si="59"/>
        <v>Refurbish</v>
      </c>
      <c r="AI143" s="18" t="str">
        <f t="shared" si="28"/>
        <v>Add</v>
      </c>
      <c r="AJ143" s="18">
        <f t="shared" si="3"/>
        <v>2016</v>
      </c>
      <c r="AK143" s="17">
        <f>MATCH(AJ143,Tab.Year.Period!$11:$11,1)-3</f>
        <v>12</v>
      </c>
      <c r="AL143" s="17">
        <f>MATCH(AL$88&amp;"."&amp;TEXT(AK143,"00"),Tab.Insulation.Default!$A:$A,0)</f>
        <v>23</v>
      </c>
      <c r="AM143" s="20" t="e">
        <f ca="1">IF(ISNA(IF(S143="",#N/A,S143)),OFFSET(Tab.Insulation.Default!$A$1,$AL143-1,MATCH(AM$87&amp;"_"&amp;$K143,Tab.Insulation.Default!$1:$1,0)-1),#N/A)</f>
        <v>#N/A</v>
      </c>
      <c r="AN143" s="27">
        <f t="shared" si="29"/>
        <v>12</v>
      </c>
      <c r="AO143" s="22">
        <f ca="1">IF(ISNA(IF(V143="",#N/A,V143)),OFFSET(Tab.Insulation.Default!$A$1,$AL143-1,MATCH(AO$87&amp;"_"&amp;$K143,Tab.Insulation.Default!$1:$1,0)-1),#N/A)</f>
        <v>3.5000000000000003E-2</v>
      </c>
      <c r="AP143" s="23">
        <f t="shared" ca="1" si="30"/>
        <v>3.5000000000000003E-2</v>
      </c>
      <c r="AQ143" s="29" t="str">
        <f t="shared" si="60"/>
        <v>Gen.Refurbished.12</v>
      </c>
      <c r="AR143" s="17">
        <f>MATCH(AR$88&amp;"."&amp;AQ143,Tab.Measure.f.Default!$A:$A,0)</f>
        <v>23</v>
      </c>
      <c r="AS143" s="21">
        <f ca="1">OFFSET(Tab.Measure.f.Default!$A$1,AR143-1,MATCH(AS$87&amp;"_"&amp;$J143,Tab.Measure.f.Default!$1:$1,0)-1)</f>
        <v>0.75</v>
      </c>
      <c r="AT143" s="29" t="str">
        <f t="shared" si="61"/>
        <v>MUH.NA.06</v>
      </c>
      <c r="AU143" s="17">
        <f>MATCH(AU$88&amp;"."&amp;AT143,Tab.Measure.f.Default!$A:$A,0)</f>
        <v>41</v>
      </c>
      <c r="AV143" s="21">
        <f ca="1">OFFSET(Tab.Measure.f.Default!$A$1,AU143-1,MATCH(AV$87&amp;"_"&amp;$J143,Tab.Measure.f.Default!$1:$1,0)-1)</f>
        <v>0.37</v>
      </c>
      <c r="AW143" s="30">
        <f t="shared" si="33"/>
        <v>1</v>
      </c>
      <c r="AX143" s="9">
        <f t="shared" ca="1" si="62"/>
        <v>1</v>
      </c>
      <c r="AY143" s="9">
        <f t="shared" ca="1" si="63"/>
        <v>3.4285714285714279</v>
      </c>
      <c r="AZ143" s="9">
        <f t="shared" ca="1" si="89"/>
        <v>4.4285714285714279</v>
      </c>
      <c r="BA143" s="9">
        <f t="shared" ca="1" si="90"/>
        <v>0.22580645161290325</v>
      </c>
      <c r="BB143" s="9">
        <f t="shared" ca="1" si="64"/>
        <v>0.22580645161290325</v>
      </c>
      <c r="BC143" s="32" t="str">
        <f t="shared" si="65"/>
        <v>D</v>
      </c>
      <c r="BD143" s="20" t="str">
        <f ca="1">OFFSET(Tab.Uncertainty.Levels!$A$1,MATCH(BD$88,Tab.Uncertainty.Levels!$A:$A,0)-1,MATCH(BD$87&amp;"_"&amp;BC143,Tab.Uncertainty.Levels!$1:$1,0)-1)</f>
        <v>Use of default values; building constructed until 1983</v>
      </c>
      <c r="BE143" s="24">
        <f ca="1">OFFSET(Tab.Uncertainty.Levels!$A$1,MATCH(BE$88,Tab.Uncertainty.Levels!$A:$A,0)-1,MATCH(BE$87&amp;"_"&amp;BC143,Tab.Uncertainty.Levels!$1:$1,0)-1)</f>
        <v>0.3</v>
      </c>
      <c r="BF143" s="32" t="str">
        <f t="shared" si="66"/>
        <v>-</v>
      </c>
      <c r="BG143" s="20" t="e">
        <f ca="1">OFFSET(Tab.Uncertainty.Levels!$A$1,MATCH(BG$88,Tab.Uncertainty.Levels!$A:$A,0)-1,MATCH(BG$87&amp;"_"&amp;BF143,Tab.Uncertainty.Levels!$1:$1,0)-1)</f>
        <v>#N/A</v>
      </c>
      <c r="BH143" s="24" t="e">
        <f ca="1">OFFSET(Tab.Uncertainty.Levels!$A$1,MATCH(BH$88,Tab.Uncertainty.Levels!$A:$A,0)-1,MATCH(BH$87&amp;"_"&amp;BF143,Tab.Uncertainty.Levels!$1:$1,0)-1)</f>
        <v>#N/A</v>
      </c>
      <c r="BI143" s="32" t="str">
        <f t="shared" si="31"/>
        <v>D</v>
      </c>
      <c r="BJ143" s="13">
        <f ca="1">IF(BF143="-",BE143,BH143)</f>
        <v>0.3</v>
      </c>
      <c r="BK143" s="32" t="str">
        <f>IF(OR($L143="NoDataSource",IFERROR(IF($S143="",#N/A,$S143),0)=0),IF(IFERROR(IF(U143="",#N/A,U143),0)=0,"E","D"),IF($L143="DesignDataPlusQA","A",IF($L143="DesignData","B","C")))</f>
        <v>C</v>
      </c>
      <c r="BL143" s="20" t="str">
        <f ca="1">OFFSET(Tab.Uncertainty.Levels!$A$1,MATCH(BL$88,Tab.Uncertainty.Levels!$A:$A,0)-1,MATCH(BL$87&amp;"_"&amp;BK143,Tab.Uncertainty.Levels!$1:$1,0)-1)</f>
        <v>Insulation thickness determined by inspection onsite / record or statement of owner</v>
      </c>
      <c r="BM143" s="24">
        <f ca="1">OFFSET(Tab.Uncertainty.Levels!$A$1,MATCH(BM$88,Tab.Uncertainty.Levels!$A:$A,0)-1,MATCH(BM$87&amp;"_"&amp;BK143,Tab.Uncertainty.Levels!$1:$1,0)-1)</f>
        <v>0.25</v>
      </c>
      <c r="BN143" s="34">
        <f ca="1">OFFSET(Tab.Uncertainty.Levels!$A$1,MATCH(BN$88,Tab.Uncertainty.Levels!$A:$A,0)-1,MATCH(BN$87&amp;"_"&amp;BK143,Tab.Uncertainty.Levels!$1:$1,0)-1)</f>
        <v>2</v>
      </c>
      <c r="BO143" s="13">
        <f ca="1">IFERROR(MIN(BM143,BN143/AN143),0)</f>
        <v>0.16666666666666666</v>
      </c>
      <c r="BP143" s="32" t="str">
        <f>IF(OR($L143="NoDataSource",IFERROR(IF($V143="",#N/A,$V143),0)=0),IF(IFERROR(IF(U143="",#N/A,U143),0)=0,"E","D"),IF($L143="DesignDataPlusQA","A",IF($L143="DesignData","B","C")))</f>
        <v>D</v>
      </c>
      <c r="BQ143" s="20" t="str">
        <f ca="1">OFFSET(Tab.Uncertainty.Levels!$A$1,MATCH(BQ$88,Tab.Uncertainty.Levels!$A:$A,0)-1,MATCH(BQ$87&amp;"_"&amp;BP143,Tab.Uncertainty.Levels!$1:$1,0)-1)</f>
        <v>Insulation available; no information about material</v>
      </c>
      <c r="BR143" s="97">
        <f ca="1">OFFSET(Tab.Uncertainty.Levels!$A$1,MATCH(BR$88,Tab.Uncertainty.Levels!$A:$A,0)-1,MATCH(BR$87&amp;"_"&amp;BP143,Tab.Uncertainty.Levels!$1:$1,0)-1)</f>
        <v>0.2</v>
      </c>
      <c r="BS143" s="32" t="str">
        <f>IF(L143="NoDataSource","D",IF(IFERROR(IF($T143="",#N/A,$T143),0)=0,IF(OR(IFERROR(IF($S143="",#N/A,$S143),0)&gt;0,$R143="Refurbish"),"D","E"),IF($L143="DesignDataPlusQA","A",IF($L143="DesignData","B","C"))))</f>
        <v>C</v>
      </c>
      <c r="BT143" s="20" t="str">
        <f ca="1">OFFSET(Tab.Uncertainty.Levels!$A$1,MATCH(BT$88,Tab.Uncertainty.Levels!$A:$A,0)-1,MATCH(BT$87&amp;"_"&amp;BS143,Tab.Uncertainty.Levels!$1:$1,0)-1)</f>
        <v>Insulation fraction determined by inspection onsite / record or statement of owner</v>
      </c>
      <c r="BU143" s="33">
        <f ca="1">OFFSET(Tab.Uncertainty.Levels!$A$1,MATCH(BU$88,Tab.Uncertainty.Levels!$A:$A,0)-1,MATCH(BU$87&amp;"_"&amp;BS143,Tab.Uncertainty.Levels!$1:$1,0)-1)</f>
        <v>0.2</v>
      </c>
      <c r="BV143" s="13">
        <f ca="1">IFERROR(MIN(BU143/AW143,1,(1-AW143)/AW143),0)</f>
        <v>0</v>
      </c>
      <c r="BW143" s="96">
        <f ca="1">ABS(1+(AW143*(1/(1+AN143/100/AP143*AG143)^2-1)))*BJ143*$AG143</f>
        <v>1.5296566077003125E-2</v>
      </c>
      <c r="BX143" s="96">
        <f ca="1">ABS(-AG143+1/(1/AG143+AN143/100/AP143))*BV143*AW143</f>
        <v>0</v>
      </c>
      <c r="BY143" s="96">
        <f ca="1">ABS(-AW143*AP143/((AP143/AG143+AN143/100)^2))*(BO143*AN143/100)</f>
        <v>2.9136316337148808E-2</v>
      </c>
      <c r="BZ143" s="202">
        <f ca="1">ABS(AW143*AN143/100/(1/AG143*AP143+AN143/100)^2)*(BR143*AP143)</f>
        <v>3.4963579604578569E-2</v>
      </c>
      <c r="CA143" s="103">
        <f t="shared" ca="1" si="32"/>
        <v>4.8014182927674919E-2</v>
      </c>
      <c r="CB143" s="37">
        <f t="shared" ca="1" si="67"/>
        <v>6.7741935483870974E-2</v>
      </c>
      <c r="CC143" s="37">
        <f t="shared" ca="1" si="68"/>
        <v>0</v>
      </c>
      <c r="CD143" s="37">
        <f t="shared" ca="1" si="69"/>
        <v>0.12903225806451613</v>
      </c>
      <c r="CE143" s="37">
        <f t="shared" ca="1" si="70"/>
        <v>0.15483870967741936</v>
      </c>
      <c r="CF143" s="13">
        <f t="shared" ca="1" si="71"/>
        <v>0.21263423867970319</v>
      </c>
      <c r="CG143" s="101">
        <f ca="1">AG143</f>
        <v>1</v>
      </c>
      <c r="CH143" s="101">
        <f>AW143</f>
        <v>1</v>
      </c>
      <c r="CI143" s="203">
        <f>IF(CH143&gt;0,AN143,0)</f>
        <v>12</v>
      </c>
      <c r="CJ143" s="102">
        <f ca="1">IF(AND(CH143&gt;0,CI143&gt;0),AP143,0)</f>
        <v>3.5000000000000003E-2</v>
      </c>
      <c r="CK143" s="102">
        <f ca="1">BB143</f>
        <v>0.22580645161290325</v>
      </c>
      <c r="CL143" s="37">
        <f t="shared" ca="1" si="49"/>
        <v>0.3</v>
      </c>
      <c r="CM143" s="37">
        <f t="shared" ca="1" si="50"/>
        <v>0</v>
      </c>
      <c r="CN143" s="37">
        <f t="shared" ca="1" si="51"/>
        <v>0.16666666666666666</v>
      </c>
      <c r="CO143" s="37">
        <f t="shared" ca="1" si="52"/>
        <v>0.2</v>
      </c>
      <c r="CP143" s="37">
        <f t="shared" ca="1" si="53"/>
        <v>0.21263423867970319</v>
      </c>
      <c r="CQ143" s="95">
        <f t="shared" ca="1" si="54"/>
        <v>0.3</v>
      </c>
      <c r="CR143" s="95">
        <f t="shared" ca="1" si="55"/>
        <v>0</v>
      </c>
      <c r="CS143" s="95">
        <f t="shared" ca="1" si="56"/>
        <v>2</v>
      </c>
      <c r="CT143" s="103">
        <f t="shared" ca="1" si="57"/>
        <v>7.000000000000001E-3</v>
      </c>
      <c r="CU143" s="95">
        <f t="shared" ca="1" si="58"/>
        <v>4.8014182927674919E-2</v>
      </c>
      <c r="CV143" s="37">
        <f ca="1">$CB143^2/$CF143^2</f>
        <v>0.10149597238204834</v>
      </c>
      <c r="CW143" s="37">
        <f ca="1">$CD143^2/$CF143^2</f>
        <v>0.36823935558112769</v>
      </c>
      <c r="CX143" s="37">
        <f ca="1">$CE143^2/$CF143^2</f>
        <v>0.53026467203682393</v>
      </c>
      <c r="CY143" s="37">
        <f ca="1">$CC143^2/$CF143^2</f>
        <v>0</v>
      </c>
      <c r="DA143" s="98" t="s">
        <v>214</v>
      </c>
      <c r="DB143" s="36">
        <f ca="1">OFFSET($A$1,ROW(DB143)-1,MATCH(DA143,$1:$1,0)-1)</f>
        <v>12</v>
      </c>
      <c r="DC143" s="9">
        <f ca="1">BB143</f>
        <v>0.22580645161290325</v>
      </c>
      <c r="DD143" s="9">
        <f ca="1">$DC143+$CA143</f>
        <v>0.27382063454057814</v>
      </c>
      <c r="DE143" s="9">
        <f ca="1">$DC143-$CA143</f>
        <v>0.17779226868522832</v>
      </c>
      <c r="DF143" s="10">
        <f t="shared" ca="1" si="87"/>
        <v>0.21263423867970316</v>
      </c>
    </row>
    <row r="144" spans="1:110" s="8" customFormat="1" ht="32.4" customHeight="1">
      <c r="A144" s="206" t="s">
        <v>580</v>
      </c>
      <c r="B144" s="208" t="s">
        <v>2344</v>
      </c>
      <c r="C144" s="206" t="str">
        <f t="shared" ref="C144:C145" ca="1" si="91">E144&amp;" = "&amp;F144</f>
        <v>Parameter-Variation: U_Original = 0,80 W/(m²K) - Year_Building = 1980</v>
      </c>
      <c r="D144" s="206"/>
      <c r="E144" s="206" t="s">
        <v>199</v>
      </c>
      <c r="F144" s="206" t="str">
        <f t="shared" ca="1" si="84"/>
        <v>0,80 W/(m²K) - Year_Building = 1980</v>
      </c>
      <c r="G144" s="206" t="s">
        <v>2170</v>
      </c>
      <c r="H144" s="206" t="s">
        <v>2171</v>
      </c>
      <c r="I144" s="156" t="s">
        <v>80</v>
      </c>
      <c r="J144" s="156" t="s">
        <v>134</v>
      </c>
      <c r="K144" s="156" t="s">
        <v>155</v>
      </c>
      <c r="L144" s="156" t="s">
        <v>66</v>
      </c>
      <c r="M144" s="156" t="s">
        <v>188</v>
      </c>
      <c r="N144" s="7">
        <v>1980</v>
      </c>
      <c r="O144" s="156">
        <v>1</v>
      </c>
      <c r="P144" s="156">
        <v>0</v>
      </c>
      <c r="Q144" s="156" t="s">
        <v>435</v>
      </c>
      <c r="R144" s="156" t="s">
        <v>58</v>
      </c>
      <c r="S144" s="19">
        <v>12</v>
      </c>
      <c r="T144" s="19">
        <v>1</v>
      </c>
      <c r="U144" s="19">
        <v>2016</v>
      </c>
      <c r="V144" s="19" t="e">
        <v>#N/A</v>
      </c>
      <c r="W144" s="28" t="s">
        <v>59</v>
      </c>
      <c r="X144" s="19" t="e">
        <v>#N/A</v>
      </c>
      <c r="Y144" s="105">
        <f ca="1">IFERROR(OFFSET(Tab.Const.ConstrBorder!$A$1,MATCH(Q144,Tab.Const.ConstrBorder!$A:$A,0)-1,MATCH(Y$87,Tab.Const.ConstrBorder!$1:$1,0)-1),0)</f>
        <v>0</v>
      </c>
      <c r="Z144" s="18">
        <f t="shared" si="27"/>
        <v>1980</v>
      </c>
      <c r="AA144" s="17">
        <f>MATCH(Z144,Tab.Year.Period!$11:$11,1)-3</f>
        <v>7</v>
      </c>
      <c r="AB144" s="17">
        <f>MATCH(AB$88&amp;"."&amp;TEXT(AA144,"00"),Tab.U.Default!$A:$A,0)</f>
        <v>30</v>
      </c>
      <c r="AC144" s="105">
        <f ca="1">OFFSET(Tab.U.Default!$A$1,$AB144-1,MATCH("U_Class_"&amp;IF($J144="TopCeiling","UpperCeiling",$J144)&amp;"_"&amp;AC$87,Tab.U.Default!$1:$1,0)-1)</f>
        <v>0.8</v>
      </c>
      <c r="AD144" s="105">
        <f ca="1">OFFSET(Tab.U.Default!$A$1,$AB144-1,MATCH("U_Class_"&amp;IF($J144="TopCeiling","UpperCeiling",$J144)&amp;"_"&amp;AD$87,Tab.U.Default!$1:$1,0)-1)</f>
        <v>0.8</v>
      </c>
      <c r="AE144" s="105">
        <f ca="1">OFFSET(Tab.U.Default!$A$1,$AB144-1,MATCH("U_Class_"&amp;IF($J144="TopCeiling","UpperCeiling",$J144)&amp;"_"&amp;AE$87,Tab.U.Default!$1:$1,0)-1)</f>
        <v>0.5</v>
      </c>
      <c r="AF144" s="26">
        <f t="shared" ca="1" si="0"/>
        <v>0.8</v>
      </c>
      <c r="AG144" s="26">
        <f t="shared" ca="1" si="48"/>
        <v>0.8</v>
      </c>
      <c r="AH144" s="18" t="str">
        <f t="shared" si="59"/>
        <v>Refurbish</v>
      </c>
      <c r="AI144" s="18" t="str">
        <f t="shared" si="28"/>
        <v>Add</v>
      </c>
      <c r="AJ144" s="18">
        <f t="shared" si="3"/>
        <v>2016</v>
      </c>
      <c r="AK144" s="17">
        <f>MATCH(AJ144,Tab.Year.Period!$11:$11,1)-3</f>
        <v>12</v>
      </c>
      <c r="AL144" s="17">
        <f>MATCH(AL$88&amp;"."&amp;TEXT(AK144,"00"),Tab.Insulation.Default!$A:$A,0)</f>
        <v>23</v>
      </c>
      <c r="AM144" s="20" t="e">
        <f ca="1">IF(ISNA(IF(S144="",#N/A,S144)),OFFSET(Tab.Insulation.Default!$A$1,$AL144-1,MATCH(AM$87&amp;"_"&amp;$K144,Tab.Insulation.Default!$1:$1,0)-1),#N/A)</f>
        <v>#N/A</v>
      </c>
      <c r="AN144" s="27">
        <f t="shared" si="29"/>
        <v>12</v>
      </c>
      <c r="AO144" s="22">
        <f ca="1">IF(ISNA(IF(V144="",#N/A,V144)),OFFSET(Tab.Insulation.Default!$A$1,$AL144-1,MATCH(AO$87&amp;"_"&amp;$K144,Tab.Insulation.Default!$1:$1,0)-1),#N/A)</f>
        <v>3.5000000000000003E-2</v>
      </c>
      <c r="AP144" s="23">
        <f t="shared" ca="1" si="30"/>
        <v>3.5000000000000003E-2</v>
      </c>
      <c r="AQ144" s="29" t="str">
        <f t="shared" si="60"/>
        <v>Gen.Refurbished.12</v>
      </c>
      <c r="AR144" s="17">
        <f>MATCH(AR$88&amp;"."&amp;AQ144,Tab.Measure.f.Default!$A:$A,0)</f>
        <v>23</v>
      </c>
      <c r="AS144" s="21">
        <f ca="1">OFFSET(Tab.Measure.f.Default!$A$1,AR144-1,MATCH(AS$87&amp;"_"&amp;$J144,Tab.Measure.f.Default!$1:$1,0)-1)</f>
        <v>0.75</v>
      </c>
      <c r="AT144" s="29" t="str">
        <f t="shared" si="61"/>
        <v>MUH.NA.07</v>
      </c>
      <c r="AU144" s="17">
        <f>MATCH(AU$88&amp;"."&amp;AT144,Tab.Measure.f.Default!$A:$A,0)</f>
        <v>42</v>
      </c>
      <c r="AV144" s="21">
        <f ca="1">OFFSET(Tab.Measure.f.Default!$A$1,AU144-1,MATCH(AV$87&amp;"_"&amp;$J144,Tab.Measure.f.Default!$1:$1,0)-1)</f>
        <v>0.1</v>
      </c>
      <c r="AW144" s="30">
        <f t="shared" si="33"/>
        <v>1</v>
      </c>
      <c r="AX144" s="9">
        <f t="shared" ca="1" si="62"/>
        <v>1.25</v>
      </c>
      <c r="AY144" s="9">
        <f t="shared" ca="1" si="63"/>
        <v>3.4285714285714279</v>
      </c>
      <c r="AZ144" s="9">
        <f t="shared" ref="AZ144:AZ145" ca="1" si="92">AX144+AY144</f>
        <v>4.6785714285714279</v>
      </c>
      <c r="BA144" s="9">
        <f t="shared" ref="BA144:BA145" ca="1" si="93">1/AZ144</f>
        <v>0.2137404580152672</v>
      </c>
      <c r="BB144" s="9">
        <f t="shared" ca="1" si="64"/>
        <v>0.2137404580152672</v>
      </c>
      <c r="BC144" s="32" t="str">
        <f t="shared" si="65"/>
        <v>D</v>
      </c>
      <c r="BD144" s="20" t="str">
        <f ca="1">OFFSET(Tab.Uncertainty.Levels!$A$1,MATCH(BD$88,Tab.Uncertainty.Levels!$A:$A,0)-1,MATCH(BD$87&amp;"_"&amp;BC144,Tab.Uncertainty.Levels!$1:$1,0)-1)</f>
        <v>Use of default values; building constructed until 1983</v>
      </c>
      <c r="BE144" s="24">
        <f ca="1">OFFSET(Tab.Uncertainty.Levels!$A$1,MATCH(BE$88,Tab.Uncertainty.Levels!$A:$A,0)-1,MATCH(BE$87&amp;"_"&amp;BC144,Tab.Uncertainty.Levels!$1:$1,0)-1)</f>
        <v>0.3</v>
      </c>
      <c r="BF144" s="32" t="str">
        <f t="shared" si="66"/>
        <v>-</v>
      </c>
      <c r="BG144" s="20" t="e">
        <f ca="1">OFFSET(Tab.Uncertainty.Levels!$A$1,MATCH(BG$88,Tab.Uncertainty.Levels!$A:$A,0)-1,MATCH(BG$87&amp;"_"&amp;BF144,Tab.Uncertainty.Levels!$1:$1,0)-1)</f>
        <v>#N/A</v>
      </c>
      <c r="BH144" s="24" t="e">
        <f ca="1">OFFSET(Tab.Uncertainty.Levels!$A$1,MATCH(BH$88,Tab.Uncertainty.Levels!$A:$A,0)-1,MATCH(BH$87&amp;"_"&amp;BF144,Tab.Uncertainty.Levels!$1:$1,0)-1)</f>
        <v>#N/A</v>
      </c>
      <c r="BI144" s="32" t="str">
        <f t="shared" si="31"/>
        <v>D</v>
      </c>
      <c r="BJ144" s="13">
        <f ca="1">IF(BF144="-",BE144,BH144)</f>
        <v>0.3</v>
      </c>
      <c r="BK144" s="32" t="str">
        <f>IF(OR($L144="NoDataSource",IFERROR(IF($S144="",#N/A,$S144),0)=0),IF(IFERROR(IF(U144="",#N/A,U144),0)=0,"E","D"),IF($L144="DesignDataPlusQA","A",IF($L144="DesignData","B","C")))</f>
        <v>C</v>
      </c>
      <c r="BL144" s="20" t="str">
        <f ca="1">OFFSET(Tab.Uncertainty.Levels!$A$1,MATCH(BL$88,Tab.Uncertainty.Levels!$A:$A,0)-1,MATCH(BL$87&amp;"_"&amp;BK144,Tab.Uncertainty.Levels!$1:$1,0)-1)</f>
        <v>Insulation thickness determined by inspection onsite / record or statement of owner</v>
      </c>
      <c r="BM144" s="24">
        <f ca="1">OFFSET(Tab.Uncertainty.Levels!$A$1,MATCH(BM$88,Tab.Uncertainty.Levels!$A:$A,0)-1,MATCH(BM$87&amp;"_"&amp;BK144,Tab.Uncertainty.Levels!$1:$1,0)-1)</f>
        <v>0.25</v>
      </c>
      <c r="BN144" s="34">
        <f ca="1">OFFSET(Tab.Uncertainty.Levels!$A$1,MATCH(BN$88,Tab.Uncertainty.Levels!$A:$A,0)-1,MATCH(BN$87&amp;"_"&amp;BK144,Tab.Uncertainty.Levels!$1:$1,0)-1)</f>
        <v>2</v>
      </c>
      <c r="BO144" s="13">
        <f ca="1">IFERROR(MIN(BM144,BN144/AN144),0)</f>
        <v>0.16666666666666666</v>
      </c>
      <c r="BP144" s="32" t="str">
        <f>IF(OR($L144="NoDataSource",IFERROR(IF($V144="",#N/A,$V144),0)=0),IF(IFERROR(IF(U144="",#N/A,U144),0)=0,"E","D"),IF($L144="DesignDataPlusQA","A",IF($L144="DesignData","B","C")))</f>
        <v>D</v>
      </c>
      <c r="BQ144" s="20" t="str">
        <f ca="1">OFFSET(Tab.Uncertainty.Levels!$A$1,MATCH(BQ$88,Tab.Uncertainty.Levels!$A:$A,0)-1,MATCH(BQ$87&amp;"_"&amp;BP144,Tab.Uncertainty.Levels!$1:$1,0)-1)</f>
        <v>Insulation available; no information about material</v>
      </c>
      <c r="BR144" s="97">
        <f ca="1">OFFSET(Tab.Uncertainty.Levels!$A$1,MATCH(BR$88,Tab.Uncertainty.Levels!$A:$A,0)-1,MATCH(BR$87&amp;"_"&amp;BP144,Tab.Uncertainty.Levels!$1:$1,0)-1)</f>
        <v>0.2</v>
      </c>
      <c r="BS144" s="32" t="str">
        <f>IF(L144="NoDataSource","D",IF(IFERROR(IF($T144="",#N/A,$T144),0)=0,IF(OR(IFERROR(IF($S144="",#N/A,$S144),0)&gt;0,$R144="Refurbish"),"D","E"),IF($L144="DesignDataPlusQA","A",IF($L144="DesignData","B","C"))))</f>
        <v>C</v>
      </c>
      <c r="BT144" s="20" t="str">
        <f ca="1">OFFSET(Tab.Uncertainty.Levels!$A$1,MATCH(BT$88,Tab.Uncertainty.Levels!$A:$A,0)-1,MATCH(BT$87&amp;"_"&amp;BS144,Tab.Uncertainty.Levels!$1:$1,0)-1)</f>
        <v>Insulation fraction determined by inspection onsite / record or statement of owner</v>
      </c>
      <c r="BU144" s="33">
        <f ca="1">OFFSET(Tab.Uncertainty.Levels!$A$1,MATCH(BU$88,Tab.Uncertainty.Levels!$A:$A,0)-1,MATCH(BU$87&amp;"_"&amp;BS144,Tab.Uncertainty.Levels!$1:$1,0)-1)</f>
        <v>0.2</v>
      </c>
      <c r="BV144" s="13">
        <f ca="1">IFERROR(MIN(BU144/AW144,1,(1-AW144)/AW144),0)</f>
        <v>0</v>
      </c>
      <c r="BW144" s="96">
        <f ca="1">ABS(1+(AW144*(1/(1+AN144/100/AP144*AG144)^2-1)))*BJ144*$AG144</f>
        <v>1.7131868772216088E-2</v>
      </c>
      <c r="BX144" s="96">
        <f ca="1">ABS(-AG144+1/(1/AG144+AN144/100/AP144))*BV144*AW144</f>
        <v>0</v>
      </c>
      <c r="BY144" s="96">
        <f ca="1">ABS(-AW144*AP144/((AP144/AG144+AN144/100)^2))*(BO144*AN144/100)</f>
        <v>2.6105704795757825E-2</v>
      </c>
      <c r="BZ144" s="202">
        <f ca="1">ABS(AW144*AN144/100/(1/AG144*AP144+AN144/100)^2)*(BR144*AP144)</f>
        <v>3.1326845754909384E-2</v>
      </c>
      <c r="CA144" s="103">
        <f t="shared" ca="1" si="32"/>
        <v>4.4230984789664932E-2</v>
      </c>
      <c r="CB144" s="37">
        <f t="shared" ca="1" si="67"/>
        <v>8.0152671755725255E-2</v>
      </c>
      <c r="CC144" s="37">
        <f t="shared" ca="1" si="68"/>
        <v>0</v>
      </c>
      <c r="CD144" s="37">
        <f t="shared" ca="1" si="69"/>
        <v>0.12213740458015267</v>
      </c>
      <c r="CE144" s="37">
        <f t="shared" ca="1" si="70"/>
        <v>0.14656488549618318</v>
      </c>
      <c r="CF144" s="13">
        <f t="shared" ca="1" si="71"/>
        <v>0.20693782169450373</v>
      </c>
      <c r="CG144" s="101">
        <f ca="1">AG144</f>
        <v>0.8</v>
      </c>
      <c r="CH144" s="101">
        <f>AW144</f>
        <v>1</v>
      </c>
      <c r="CI144" s="203">
        <f>IF(CH144&gt;0,AN144,0)</f>
        <v>12</v>
      </c>
      <c r="CJ144" s="102">
        <f ca="1">IF(AND(CH144&gt;0,CI144&gt;0),AP144,0)</f>
        <v>3.5000000000000003E-2</v>
      </c>
      <c r="CK144" s="102">
        <f ca="1">BB144</f>
        <v>0.2137404580152672</v>
      </c>
      <c r="CL144" s="37">
        <f t="shared" ca="1" si="49"/>
        <v>0.3</v>
      </c>
      <c r="CM144" s="37">
        <f t="shared" ca="1" si="50"/>
        <v>0</v>
      </c>
      <c r="CN144" s="37">
        <f t="shared" ca="1" si="51"/>
        <v>0.16666666666666666</v>
      </c>
      <c r="CO144" s="37">
        <f t="shared" ca="1" si="52"/>
        <v>0.2</v>
      </c>
      <c r="CP144" s="37">
        <f t="shared" ca="1" si="53"/>
        <v>0.20693782169450373</v>
      </c>
      <c r="CQ144" s="95">
        <f t="shared" ca="1" si="54"/>
        <v>0.24</v>
      </c>
      <c r="CR144" s="95">
        <f t="shared" ca="1" si="55"/>
        <v>0</v>
      </c>
      <c r="CS144" s="95">
        <f t="shared" ca="1" si="56"/>
        <v>2</v>
      </c>
      <c r="CT144" s="103">
        <f t="shared" ca="1" si="57"/>
        <v>7.000000000000001E-3</v>
      </c>
      <c r="CU144" s="95">
        <f t="shared" ca="1" si="58"/>
        <v>4.4230984789664925E-2</v>
      </c>
      <c r="CV144" s="37">
        <f ca="1">$CB144^2/$CF144^2</f>
        <v>0.15002245233980618</v>
      </c>
      <c r="CW144" s="37">
        <f ca="1">$CD144^2/$CF144^2</f>
        <v>0.34835145395909589</v>
      </c>
      <c r="CX144" s="37">
        <f ca="1">$CE144^2/$CF144^2</f>
        <v>0.50162609370109801</v>
      </c>
      <c r="CY144" s="37">
        <f ca="1">$CC144^2/$CF144^2</f>
        <v>0</v>
      </c>
      <c r="DA144" s="98" t="s">
        <v>214</v>
      </c>
      <c r="DB144" s="36">
        <f ca="1">OFFSET($A$1,ROW(DB144)-1,MATCH(DA144,$1:$1,0)-1)</f>
        <v>12</v>
      </c>
      <c r="DC144" s="9">
        <f ca="1">BB144</f>
        <v>0.2137404580152672</v>
      </c>
      <c r="DD144" s="9">
        <f ca="1">$DC144+$CA144</f>
        <v>0.25797144280493212</v>
      </c>
      <c r="DE144" s="9">
        <f ca="1">$DC144-$CA144</f>
        <v>0.16950947322560228</v>
      </c>
      <c r="DF144" s="10">
        <f t="shared" ca="1" si="87"/>
        <v>0.2069378216945037</v>
      </c>
    </row>
    <row r="145" spans="1:110" s="8" customFormat="1" ht="32.4" customHeight="1">
      <c r="A145" s="206" t="s">
        <v>581</v>
      </c>
      <c r="B145" s="208" t="s">
        <v>2344</v>
      </c>
      <c r="C145" s="206" t="str">
        <f t="shared" si="91"/>
        <v>Parameter-Variation: d_Insulation = NA</v>
      </c>
      <c r="D145" s="206"/>
      <c r="E145" s="206" t="s">
        <v>198</v>
      </c>
      <c r="F145" s="206" t="str">
        <f>IFERROR(S145&amp;" cm","NA")</f>
        <v>NA</v>
      </c>
      <c r="G145" s="206" t="s">
        <v>2170</v>
      </c>
      <c r="H145" s="206" t="s">
        <v>2171</v>
      </c>
      <c r="I145" s="156" t="s">
        <v>80</v>
      </c>
      <c r="J145" s="156" t="s">
        <v>134</v>
      </c>
      <c r="K145" s="156" t="s">
        <v>155</v>
      </c>
      <c r="L145" s="156" t="s">
        <v>66</v>
      </c>
      <c r="M145" s="156" t="s">
        <v>188</v>
      </c>
      <c r="N145" s="7">
        <v>1960</v>
      </c>
      <c r="O145" s="156">
        <v>1</v>
      </c>
      <c r="P145" s="156">
        <v>0</v>
      </c>
      <c r="Q145" s="156" t="s">
        <v>435</v>
      </c>
      <c r="R145" s="156" t="s">
        <v>58</v>
      </c>
      <c r="S145" s="19" t="e">
        <v>#N/A</v>
      </c>
      <c r="T145" s="19">
        <v>1</v>
      </c>
      <c r="U145" s="19">
        <v>2016</v>
      </c>
      <c r="V145" s="19" t="e">
        <v>#N/A</v>
      </c>
      <c r="W145" s="28" t="s">
        <v>59</v>
      </c>
      <c r="X145" s="19" t="e">
        <v>#N/A</v>
      </c>
      <c r="Y145" s="105">
        <f ca="1">IFERROR(OFFSET(Tab.Const.ConstrBorder!$A$1,MATCH(Q145,Tab.Const.ConstrBorder!$A:$A,0)-1,MATCH(Y$87,Tab.Const.ConstrBorder!$1:$1,0)-1),0)</f>
        <v>0</v>
      </c>
      <c r="Z145" s="18">
        <f t="shared" si="27"/>
        <v>1960</v>
      </c>
      <c r="AA145" s="17">
        <f>MATCH(Z145,Tab.Year.Period!$11:$11,1)-3</f>
        <v>5</v>
      </c>
      <c r="AB145" s="17">
        <f>MATCH(AB$88&amp;"."&amp;TEXT(AA145,"00"),Tab.U.Default!$A:$A,0)</f>
        <v>28</v>
      </c>
      <c r="AC145" s="105">
        <f ca="1">OFFSET(Tab.U.Default!$A$1,$AB145-1,MATCH("U_Class_"&amp;IF($J145="TopCeiling","UpperCeiling",$J145)&amp;"_"&amp;AC$87,Tab.U.Default!$1:$1,0)-1)</f>
        <v>1.2</v>
      </c>
      <c r="AD145" s="105">
        <f ca="1">OFFSET(Tab.U.Default!$A$1,$AB145-1,MATCH("U_Class_"&amp;IF($J145="TopCeiling","UpperCeiling",$J145)&amp;"_"&amp;AD$87,Tab.U.Default!$1:$1,0)-1)</f>
        <v>1.2</v>
      </c>
      <c r="AE145" s="105">
        <f ca="1">OFFSET(Tab.U.Default!$A$1,$AB145-1,MATCH("U_Class_"&amp;IF($J145="TopCeiling","UpperCeiling",$J145)&amp;"_"&amp;AE$87,Tab.U.Default!$1:$1,0)-1)</f>
        <v>0.8</v>
      </c>
      <c r="AF145" s="26">
        <f t="shared" ca="1" si="0"/>
        <v>1.2</v>
      </c>
      <c r="AG145" s="26">
        <f t="shared" ca="1" si="48"/>
        <v>1.2</v>
      </c>
      <c r="AH145" s="18" t="str">
        <f t="shared" si="59"/>
        <v>Refurbish</v>
      </c>
      <c r="AI145" s="18" t="str">
        <f t="shared" si="28"/>
        <v>Add</v>
      </c>
      <c r="AJ145" s="18">
        <f t="shared" si="3"/>
        <v>2016</v>
      </c>
      <c r="AK145" s="17">
        <f>MATCH(AJ145,Tab.Year.Period!$11:$11,1)-3</f>
        <v>12</v>
      </c>
      <c r="AL145" s="17">
        <f>MATCH(AL$88&amp;"."&amp;TEXT(AK145,"00"),Tab.Insulation.Default!$A:$A,0)</f>
        <v>23</v>
      </c>
      <c r="AM145" s="20">
        <f ca="1">IF(ISNA(IF(S145="",#N/A,S145)),OFFSET(Tab.Insulation.Default!$A$1,$AL145-1,MATCH(AM$87&amp;"_"&amp;$K145,Tab.Insulation.Default!$1:$1,0)-1),#N/A)</f>
        <v>12</v>
      </c>
      <c r="AN145" s="27">
        <f t="shared" ca="1" si="29"/>
        <v>12</v>
      </c>
      <c r="AO145" s="22">
        <f ca="1">IF(ISNA(IF(V145="",#N/A,V145)),OFFSET(Tab.Insulation.Default!$A$1,$AL145-1,MATCH(AO$87&amp;"_"&amp;$K145,Tab.Insulation.Default!$1:$1,0)-1),#N/A)</f>
        <v>3.5000000000000003E-2</v>
      </c>
      <c r="AP145" s="23">
        <f t="shared" ca="1" si="30"/>
        <v>3.5000000000000003E-2</v>
      </c>
      <c r="AQ145" s="29" t="str">
        <f t="shared" si="60"/>
        <v>Gen.Refurbished.12</v>
      </c>
      <c r="AR145" s="17">
        <f>MATCH(AR$88&amp;"."&amp;AQ145,Tab.Measure.f.Default!$A:$A,0)</f>
        <v>23</v>
      </c>
      <c r="AS145" s="21">
        <f ca="1">OFFSET(Tab.Measure.f.Default!$A$1,AR145-1,MATCH(AS$87&amp;"_"&amp;$J145,Tab.Measure.f.Default!$1:$1,0)-1)</f>
        <v>0.75</v>
      </c>
      <c r="AT145" s="29" t="str">
        <f t="shared" si="61"/>
        <v>MUH.NA.05</v>
      </c>
      <c r="AU145" s="17">
        <f>MATCH(AU$88&amp;"."&amp;AT145,Tab.Measure.f.Default!$A:$A,0)</f>
        <v>40</v>
      </c>
      <c r="AV145" s="21">
        <f ca="1">OFFSET(Tab.Measure.f.Default!$A$1,AU145-1,MATCH(AV$87&amp;"_"&amp;$J145,Tab.Measure.f.Default!$1:$1,0)-1)</f>
        <v>0.37</v>
      </c>
      <c r="AW145" s="30">
        <f t="shared" si="33"/>
        <v>1</v>
      </c>
      <c r="AX145" s="9">
        <f t="shared" ca="1" si="62"/>
        <v>0.83333333333333337</v>
      </c>
      <c r="AY145" s="9">
        <f t="shared" ca="1" si="63"/>
        <v>3.4285714285714279</v>
      </c>
      <c r="AZ145" s="9">
        <f t="shared" ca="1" si="92"/>
        <v>4.261904761904761</v>
      </c>
      <c r="BA145" s="9">
        <f t="shared" ca="1" si="93"/>
        <v>0.23463687150837995</v>
      </c>
      <c r="BB145" s="9">
        <f t="shared" ca="1" si="64"/>
        <v>0.23463687150837995</v>
      </c>
      <c r="BC145" s="32" t="str">
        <f t="shared" si="65"/>
        <v>D</v>
      </c>
      <c r="BD145" s="20" t="str">
        <f ca="1">OFFSET(Tab.Uncertainty.Levels!$A$1,MATCH(BD$88,Tab.Uncertainty.Levels!$A:$A,0)-1,MATCH(BD$87&amp;"_"&amp;BC145,Tab.Uncertainty.Levels!$1:$1,0)-1)</f>
        <v>Use of default values; building constructed until 1983</v>
      </c>
      <c r="BE145" s="24">
        <f ca="1">OFFSET(Tab.Uncertainty.Levels!$A$1,MATCH(BE$88,Tab.Uncertainty.Levels!$A:$A,0)-1,MATCH(BE$87&amp;"_"&amp;BC145,Tab.Uncertainty.Levels!$1:$1,0)-1)</f>
        <v>0.3</v>
      </c>
      <c r="BF145" s="32" t="str">
        <f t="shared" si="66"/>
        <v>-</v>
      </c>
      <c r="BG145" s="20" t="e">
        <f ca="1">OFFSET(Tab.Uncertainty.Levels!$A$1,MATCH(BG$88,Tab.Uncertainty.Levels!$A:$A,0)-1,MATCH(BG$87&amp;"_"&amp;BF145,Tab.Uncertainty.Levels!$1:$1,0)-1)</f>
        <v>#N/A</v>
      </c>
      <c r="BH145" s="24" t="e">
        <f ca="1">OFFSET(Tab.Uncertainty.Levels!$A$1,MATCH(BH$88,Tab.Uncertainty.Levels!$A:$A,0)-1,MATCH(BH$87&amp;"_"&amp;BF145,Tab.Uncertainty.Levels!$1:$1,0)-1)</f>
        <v>#N/A</v>
      </c>
      <c r="BI145" s="32" t="str">
        <f t="shared" si="31"/>
        <v>D</v>
      </c>
      <c r="BJ145" s="13">
        <f ca="1">IF(BF145="-",BE145,BH145)</f>
        <v>0.3</v>
      </c>
      <c r="BK145" s="32" t="str">
        <f>IF(OR($L145="NoDataSource",IFERROR(IF($S145="",#N/A,$S145),0)=0),IF(IFERROR(IF(U145="",#N/A,U145),0)=0,"E","D"),IF($L145="DesignDataPlusQA","A",IF($L145="DesignData","B","C")))</f>
        <v>D</v>
      </c>
      <c r="BL145" s="20" t="str">
        <f ca="1">OFFSET(Tab.Uncertainty.Levels!$A$1,MATCH(BL$88,Tab.Uncertainty.Levels!$A:$A,0)-1,MATCH(BL$87&amp;"_"&amp;BK145,Tab.Uncertainty.Levels!$1:$1,0)-1)</f>
        <v>Insulation available; insulation thickness unknown</v>
      </c>
      <c r="BM145" s="24">
        <f ca="1">OFFSET(Tab.Uncertainty.Levels!$A$1,MATCH(BM$88,Tab.Uncertainty.Levels!$A:$A,0)-1,MATCH(BM$87&amp;"_"&amp;BK145,Tab.Uncertainty.Levels!$1:$1,0)-1)</f>
        <v>0.4</v>
      </c>
      <c r="BN145" s="34">
        <f ca="1">OFFSET(Tab.Uncertainty.Levels!$A$1,MATCH(BN$88,Tab.Uncertainty.Levels!$A:$A,0)-1,MATCH(BN$87&amp;"_"&amp;BK145,Tab.Uncertainty.Levels!$1:$1,0)-1)</f>
        <v>5</v>
      </c>
      <c r="BO145" s="13">
        <f ca="1">IFERROR(MIN(BM145,BN145/AN145),0)</f>
        <v>0.4</v>
      </c>
      <c r="BP145" s="32" t="str">
        <f>IF(OR($L145="NoDataSource",IFERROR(IF($V145="",#N/A,$V145),0)=0),IF(IFERROR(IF(U145="",#N/A,U145),0)=0,"E","D"),IF($L145="DesignDataPlusQA","A",IF($L145="DesignData","B","C")))</f>
        <v>D</v>
      </c>
      <c r="BQ145" s="20" t="str">
        <f ca="1">OFFSET(Tab.Uncertainty.Levels!$A$1,MATCH(BQ$88,Tab.Uncertainty.Levels!$A:$A,0)-1,MATCH(BQ$87&amp;"_"&amp;BP145,Tab.Uncertainty.Levels!$1:$1,0)-1)</f>
        <v>Insulation available; no information about material</v>
      </c>
      <c r="BR145" s="97">
        <f ca="1">OFFSET(Tab.Uncertainty.Levels!$A$1,MATCH(BR$88,Tab.Uncertainty.Levels!$A:$A,0)-1,MATCH(BR$87&amp;"_"&amp;BP145,Tab.Uncertainty.Levels!$1:$1,0)-1)</f>
        <v>0.2</v>
      </c>
      <c r="BS145" s="32" t="str">
        <f>IF(L145="NoDataSource","D",IF(IFERROR(IF($T145="",#N/A,$T145),0)=0,IF(OR(IFERROR(IF($S145="",#N/A,$S145),0)&gt;0,$R145="Refurbish"),"D","E"),IF($L145="DesignDataPlusQA","A",IF($L145="DesignData","B","C"))))</f>
        <v>C</v>
      </c>
      <c r="BT145" s="20" t="str">
        <f ca="1">OFFSET(Tab.Uncertainty.Levels!$A$1,MATCH(BT$88,Tab.Uncertainty.Levels!$A:$A,0)-1,MATCH(BT$87&amp;"_"&amp;BS145,Tab.Uncertainty.Levels!$1:$1,0)-1)</f>
        <v>Insulation fraction determined by inspection onsite / record or statement of owner</v>
      </c>
      <c r="BU145" s="33">
        <f ca="1">OFFSET(Tab.Uncertainty.Levels!$A$1,MATCH(BU$88,Tab.Uncertainty.Levels!$A:$A,0)-1,MATCH(BU$87&amp;"_"&amp;BS145,Tab.Uncertainty.Levels!$1:$1,0)-1)</f>
        <v>0.2</v>
      </c>
      <c r="BV145" s="13">
        <f ca="1">IFERROR(MIN(BU145/AW145,1,(1-AW145)/AW145),0)</f>
        <v>0</v>
      </c>
      <c r="BW145" s="96">
        <f ca="1">ABS(1+(AW145*(1/(1+AN145/100/AP145*AG145)^2-1)))*BJ145*$AG145</f>
        <v>1.3763615367809984E-2</v>
      </c>
      <c r="BX145" s="96">
        <f ca="1">ABS(-AG145+1/(1/AG145+AN145/100/AP145))*BV145*AW145</f>
        <v>0</v>
      </c>
      <c r="BY145" s="96">
        <f ca="1">ABS(-AW145*AP145/((AP145/AG145+AN145/100)^2))*(BO145*AN145/100)</f>
        <v>7.550326144627198E-2</v>
      </c>
      <c r="BZ145" s="202">
        <f ca="1">ABS(AW145*AN145/100/(1/AG145*AP145+AN145/100)^2)*(BR145*AP145)</f>
        <v>3.775163072313599E-2</v>
      </c>
      <c r="CA145" s="103">
        <f t="shared" ca="1" si="32"/>
        <v>8.5529908331958018E-2</v>
      </c>
      <c r="CB145" s="37">
        <f t="shared" ca="1" si="67"/>
        <v>5.8659217877094917E-2</v>
      </c>
      <c r="CC145" s="37">
        <f t="shared" ca="1" si="68"/>
        <v>0</v>
      </c>
      <c r="CD145" s="37">
        <f t="shared" ca="1" si="69"/>
        <v>0.3217877094972067</v>
      </c>
      <c r="CE145" s="37">
        <f t="shared" ca="1" si="70"/>
        <v>0.16089385474860335</v>
      </c>
      <c r="CF145" s="13">
        <f t="shared" ca="1" si="71"/>
        <v>0.36452032360524955</v>
      </c>
      <c r="CG145" s="101">
        <f ca="1">AG145</f>
        <v>1.2</v>
      </c>
      <c r="CH145" s="101">
        <f>AW145</f>
        <v>1</v>
      </c>
      <c r="CI145" s="203">
        <f ca="1">IF(CH145&gt;0,AN145,0)</f>
        <v>12</v>
      </c>
      <c r="CJ145" s="102">
        <f ca="1">IF(AND(CH145&gt;0,CI145&gt;0),AP145,0)</f>
        <v>3.5000000000000003E-2</v>
      </c>
      <c r="CK145" s="102">
        <f ca="1">BB145</f>
        <v>0.23463687150837995</v>
      </c>
      <c r="CL145" s="37">
        <f t="shared" ca="1" si="49"/>
        <v>0.3</v>
      </c>
      <c r="CM145" s="37">
        <f t="shared" ca="1" si="50"/>
        <v>0</v>
      </c>
      <c r="CN145" s="37">
        <f t="shared" ca="1" si="51"/>
        <v>0.4</v>
      </c>
      <c r="CO145" s="37">
        <f t="shared" ca="1" si="52"/>
        <v>0.2</v>
      </c>
      <c r="CP145" s="37">
        <f t="shared" ca="1" si="53"/>
        <v>0.36452032360524955</v>
      </c>
      <c r="CQ145" s="95">
        <f t="shared" ca="1" si="54"/>
        <v>0.36</v>
      </c>
      <c r="CR145" s="95">
        <f t="shared" ca="1" si="55"/>
        <v>0</v>
      </c>
      <c r="CS145" s="95">
        <f t="shared" ca="1" si="56"/>
        <v>4.8000000000000007</v>
      </c>
      <c r="CT145" s="103">
        <f t="shared" ca="1" si="57"/>
        <v>7.000000000000001E-3</v>
      </c>
      <c r="CU145" s="95">
        <f t="shared" ca="1" si="58"/>
        <v>8.5529908331958018E-2</v>
      </c>
      <c r="CV145" s="37">
        <f ca="1">$CB145^2/$CF145^2</f>
        <v>2.5895782686819531E-2</v>
      </c>
      <c r="CW145" s="37">
        <f ca="1">$CD145^2/$CF145^2</f>
        <v>0.77928337385054436</v>
      </c>
      <c r="CX145" s="37">
        <f ca="1">$CE145^2/$CF145^2</f>
        <v>0.19482084346263609</v>
      </c>
      <c r="CY145" s="37">
        <f ca="1">$CC145^2/$CF145^2</f>
        <v>0</v>
      </c>
      <c r="DA145" s="98" t="s">
        <v>214</v>
      </c>
      <c r="DB145" s="36">
        <f ca="1">OFFSET($A$1,ROW(DB145)-1,MATCH(DA145,$1:$1,0)-1)</f>
        <v>12</v>
      </c>
      <c r="DC145" s="9">
        <f ca="1">BB145</f>
        <v>0.23463687150837995</v>
      </c>
      <c r="DD145" s="9">
        <f ca="1">$DC145+$CA145</f>
        <v>0.32016677984033798</v>
      </c>
      <c r="DE145" s="9">
        <f ca="1">$DC145-$CA145</f>
        <v>0.14910696317642191</v>
      </c>
      <c r="DF145" s="10">
        <f t="shared" ca="1" si="87"/>
        <v>0.36452032360524961</v>
      </c>
    </row>
    <row r="146" spans="1:110" s="8" customFormat="1" ht="32.4" customHeight="1">
      <c r="A146" s="206" t="s">
        <v>582</v>
      </c>
      <c r="B146" s="208" t="s">
        <v>2344</v>
      </c>
      <c r="C146" s="206" t="str">
        <f t="shared" si="88"/>
        <v>Parameter-Variation: d_Insulation = 0 cm</v>
      </c>
      <c r="D146" s="206"/>
      <c r="E146" s="206" t="s">
        <v>198</v>
      </c>
      <c r="F146" s="206" t="str">
        <f t="shared" ref="F146:F156" si="94">IFERROR(S146&amp;" cm","NA")</f>
        <v>0 cm</v>
      </c>
      <c r="G146" s="206" t="s">
        <v>2170</v>
      </c>
      <c r="H146" s="206" t="s">
        <v>2171</v>
      </c>
      <c r="I146" s="156" t="s">
        <v>80</v>
      </c>
      <c r="J146" s="156" t="s">
        <v>134</v>
      </c>
      <c r="K146" s="156" t="s">
        <v>155</v>
      </c>
      <c r="L146" s="156" t="s">
        <v>66</v>
      </c>
      <c r="M146" s="156" t="s">
        <v>188</v>
      </c>
      <c r="N146" s="7">
        <v>1960</v>
      </c>
      <c r="O146" s="156">
        <v>1</v>
      </c>
      <c r="P146" s="156">
        <v>0</v>
      </c>
      <c r="Q146" s="156" t="s">
        <v>435</v>
      </c>
      <c r="R146" s="156" t="s">
        <v>58</v>
      </c>
      <c r="S146" s="19">
        <v>0</v>
      </c>
      <c r="T146" s="19">
        <v>1</v>
      </c>
      <c r="U146" s="19">
        <v>2016</v>
      </c>
      <c r="V146" s="19" t="e">
        <v>#N/A</v>
      </c>
      <c r="W146" s="28" t="s">
        <v>59</v>
      </c>
      <c r="X146" s="19" t="e">
        <v>#N/A</v>
      </c>
      <c r="Y146" s="105">
        <f ca="1">IFERROR(OFFSET(Tab.Const.ConstrBorder!$A$1,MATCH(Q146,Tab.Const.ConstrBorder!$A:$A,0)-1,MATCH(Y$87,Tab.Const.ConstrBorder!$1:$1,0)-1),0)</f>
        <v>0</v>
      </c>
      <c r="Z146" s="18">
        <f t="shared" si="27"/>
        <v>1960</v>
      </c>
      <c r="AA146" s="17">
        <f>MATCH(Z146,Tab.Year.Period!$11:$11,1)-3</f>
        <v>5</v>
      </c>
      <c r="AB146" s="17">
        <f>MATCH(AB$88&amp;"."&amp;TEXT(AA146,"00"),Tab.U.Default!$A:$A,0)</f>
        <v>28</v>
      </c>
      <c r="AC146" s="105">
        <f ca="1">OFFSET(Tab.U.Default!$A$1,$AB146-1,MATCH("U_Class_"&amp;IF($J146="TopCeiling","UpperCeiling",$J146)&amp;"_"&amp;AC$87,Tab.U.Default!$1:$1,0)-1)</f>
        <v>1.2</v>
      </c>
      <c r="AD146" s="105">
        <f ca="1">OFFSET(Tab.U.Default!$A$1,$AB146-1,MATCH("U_Class_"&amp;IF($J146="TopCeiling","UpperCeiling",$J146)&amp;"_"&amp;AD$87,Tab.U.Default!$1:$1,0)-1)</f>
        <v>1.2</v>
      </c>
      <c r="AE146" s="105">
        <f ca="1">OFFSET(Tab.U.Default!$A$1,$AB146-1,MATCH("U_Class_"&amp;IF($J146="TopCeiling","UpperCeiling",$J146)&amp;"_"&amp;AE$87,Tab.U.Default!$1:$1,0)-1)</f>
        <v>0.8</v>
      </c>
      <c r="AF146" s="26">
        <f t="shared" ca="1" si="0"/>
        <v>1.2</v>
      </c>
      <c r="AG146" s="26">
        <f t="shared" ca="1" si="48"/>
        <v>1.2</v>
      </c>
      <c r="AH146" s="18" t="str">
        <f t="shared" si="59"/>
        <v>Refurbish</v>
      </c>
      <c r="AI146" s="18" t="str">
        <f t="shared" si="28"/>
        <v>Add</v>
      </c>
      <c r="AJ146" s="18">
        <f t="shared" si="3"/>
        <v>2016</v>
      </c>
      <c r="AK146" s="17">
        <f>MATCH(AJ146,Tab.Year.Period!$11:$11,1)-3</f>
        <v>12</v>
      </c>
      <c r="AL146" s="17">
        <f>MATCH(AL$88&amp;"."&amp;TEXT(AK146,"00"),Tab.Insulation.Default!$A:$A,0)</f>
        <v>23</v>
      </c>
      <c r="AM146" s="20" t="e">
        <f ca="1">IF(ISNA(IF(S146="",#N/A,S146)),OFFSET(Tab.Insulation.Default!$A$1,$AL146-1,MATCH(AM$87&amp;"_"&amp;$K146,Tab.Insulation.Default!$1:$1,0)-1),#N/A)</f>
        <v>#N/A</v>
      </c>
      <c r="AN146" s="27">
        <f t="shared" si="29"/>
        <v>0</v>
      </c>
      <c r="AO146" s="22">
        <f ca="1">IF(ISNA(IF(V146="",#N/A,V146)),OFFSET(Tab.Insulation.Default!$A$1,$AL146-1,MATCH(AO$87&amp;"_"&amp;$K146,Tab.Insulation.Default!$1:$1,0)-1),#N/A)</f>
        <v>3.5000000000000003E-2</v>
      </c>
      <c r="AP146" s="23">
        <f t="shared" ca="1" si="30"/>
        <v>3.5000000000000003E-2</v>
      </c>
      <c r="AQ146" s="29" t="str">
        <f t="shared" si="60"/>
        <v>Gen.Refurbished.12</v>
      </c>
      <c r="AR146" s="17">
        <f>MATCH(AR$88&amp;"."&amp;AQ146,Tab.Measure.f.Default!$A:$A,0)</f>
        <v>23</v>
      </c>
      <c r="AS146" s="21">
        <f ca="1">OFFSET(Tab.Measure.f.Default!$A$1,AR146-1,MATCH(AS$87&amp;"_"&amp;$J146,Tab.Measure.f.Default!$1:$1,0)-1)</f>
        <v>0.75</v>
      </c>
      <c r="AT146" s="29" t="str">
        <f t="shared" si="61"/>
        <v>MUH.NA.05</v>
      </c>
      <c r="AU146" s="17">
        <f>MATCH(AU$88&amp;"."&amp;AT146,Tab.Measure.f.Default!$A:$A,0)</f>
        <v>40</v>
      </c>
      <c r="AV146" s="21">
        <f ca="1">OFFSET(Tab.Measure.f.Default!$A$1,AU146-1,MATCH(AV$87&amp;"_"&amp;$J146,Tab.Measure.f.Default!$1:$1,0)-1)</f>
        <v>0.37</v>
      </c>
      <c r="AW146" s="30">
        <f t="shared" si="33"/>
        <v>1</v>
      </c>
      <c r="AX146" s="9">
        <f t="shared" ca="1" si="62"/>
        <v>0.83333333333333337</v>
      </c>
      <c r="AY146" s="9">
        <f t="shared" ca="1" si="63"/>
        <v>0</v>
      </c>
      <c r="AZ146" s="9">
        <f t="shared" ca="1" si="89"/>
        <v>0.83333333333333337</v>
      </c>
      <c r="BA146" s="9">
        <f t="shared" ca="1" si="90"/>
        <v>1.2</v>
      </c>
      <c r="BB146" s="9">
        <f t="shared" ca="1" si="64"/>
        <v>1.2</v>
      </c>
      <c r="BC146" s="32" t="str">
        <f t="shared" si="65"/>
        <v>D</v>
      </c>
      <c r="BD146" s="20" t="str">
        <f ca="1">OFFSET(Tab.Uncertainty.Levels!$A$1,MATCH(BD$88,Tab.Uncertainty.Levels!$A:$A,0)-1,MATCH(BD$87&amp;"_"&amp;BC146,Tab.Uncertainty.Levels!$1:$1,0)-1)</f>
        <v>Use of default values; building constructed until 1983</v>
      </c>
      <c r="BE146" s="24">
        <f ca="1">OFFSET(Tab.Uncertainty.Levels!$A$1,MATCH(BE$88,Tab.Uncertainty.Levels!$A:$A,0)-1,MATCH(BE$87&amp;"_"&amp;BC146,Tab.Uncertainty.Levels!$1:$1,0)-1)</f>
        <v>0.3</v>
      </c>
      <c r="BF146" s="32" t="str">
        <f t="shared" si="66"/>
        <v>-</v>
      </c>
      <c r="BG146" s="20" t="e">
        <f ca="1">OFFSET(Tab.Uncertainty.Levels!$A$1,MATCH(BG$88,Tab.Uncertainty.Levels!$A:$A,0)-1,MATCH(BG$87&amp;"_"&amp;BF146,Tab.Uncertainty.Levels!$1:$1,0)-1)</f>
        <v>#N/A</v>
      </c>
      <c r="BH146" s="24" t="e">
        <f ca="1">OFFSET(Tab.Uncertainty.Levels!$A$1,MATCH(BH$88,Tab.Uncertainty.Levels!$A:$A,0)-1,MATCH(BH$87&amp;"_"&amp;BF146,Tab.Uncertainty.Levels!$1:$1,0)-1)</f>
        <v>#N/A</v>
      </c>
      <c r="BI146" s="32" t="str">
        <f t="shared" si="31"/>
        <v>D</v>
      </c>
      <c r="BJ146" s="13">
        <f ca="1">IF(BF146="-",BE146,BH146)</f>
        <v>0.3</v>
      </c>
      <c r="BK146" s="32" t="str">
        <f>IF(OR($L146="NoDataSource",IFERROR(IF($S146="",#N/A,$S146),0)=0),IF(IFERROR(IF(U146="",#N/A,U146),0)=0,"E","D"),IF($L146="DesignDataPlusQA","A",IF($L146="DesignData","B","C")))</f>
        <v>D</v>
      </c>
      <c r="BL146" s="20" t="str">
        <f ca="1">OFFSET(Tab.Uncertainty.Levels!$A$1,MATCH(BL$88,Tab.Uncertainty.Levels!$A:$A,0)-1,MATCH(BL$87&amp;"_"&amp;BK146,Tab.Uncertainty.Levels!$1:$1,0)-1)</f>
        <v>Insulation available; insulation thickness unknown</v>
      </c>
      <c r="BM146" s="24">
        <f ca="1">OFFSET(Tab.Uncertainty.Levels!$A$1,MATCH(BM$88,Tab.Uncertainty.Levels!$A:$A,0)-1,MATCH(BM$87&amp;"_"&amp;BK146,Tab.Uncertainty.Levels!$1:$1,0)-1)</f>
        <v>0.4</v>
      </c>
      <c r="BN146" s="34">
        <f ca="1">OFFSET(Tab.Uncertainty.Levels!$A$1,MATCH(BN$88,Tab.Uncertainty.Levels!$A:$A,0)-1,MATCH(BN$87&amp;"_"&amp;BK146,Tab.Uncertainty.Levels!$1:$1,0)-1)</f>
        <v>5</v>
      </c>
      <c r="BO146" s="13">
        <f ca="1">IFERROR(MIN(BM146,BN146/AN146),0)</f>
        <v>0</v>
      </c>
      <c r="BP146" s="32" t="str">
        <f>IF(OR($L146="NoDataSource",IFERROR(IF($V146="",#N/A,$V146),0)=0),IF(IFERROR(IF(U146="",#N/A,U146),0)=0,"E","D"),IF($L146="DesignDataPlusQA","A",IF($L146="DesignData","B","C")))</f>
        <v>D</v>
      </c>
      <c r="BQ146" s="20" t="str">
        <f ca="1">OFFSET(Tab.Uncertainty.Levels!$A$1,MATCH(BQ$88,Tab.Uncertainty.Levels!$A:$A,0)-1,MATCH(BQ$87&amp;"_"&amp;BP146,Tab.Uncertainty.Levels!$1:$1,0)-1)</f>
        <v>Insulation available; no information about material</v>
      </c>
      <c r="BR146" s="97">
        <f ca="1">OFFSET(Tab.Uncertainty.Levels!$A$1,MATCH(BR$88,Tab.Uncertainty.Levels!$A:$A,0)-1,MATCH(BR$87&amp;"_"&amp;BP146,Tab.Uncertainty.Levels!$1:$1,0)-1)</f>
        <v>0.2</v>
      </c>
      <c r="BS146" s="32" t="str">
        <f>IF(L146="NoDataSource","D",IF(IFERROR(IF($T146="",#N/A,$T146),0)=0,IF(OR(IFERROR(IF($S146="",#N/A,$S146),0)&gt;0,$R146="Refurbish"),"D","E"),IF($L146="DesignDataPlusQA","A",IF($L146="DesignData","B","C"))))</f>
        <v>C</v>
      </c>
      <c r="BT146" s="20" t="str">
        <f ca="1">OFFSET(Tab.Uncertainty.Levels!$A$1,MATCH(BT$88,Tab.Uncertainty.Levels!$A:$A,0)-1,MATCH(BT$87&amp;"_"&amp;BS146,Tab.Uncertainty.Levels!$1:$1,0)-1)</f>
        <v>Insulation fraction determined by inspection onsite / record or statement of owner</v>
      </c>
      <c r="BU146" s="33">
        <f ca="1">OFFSET(Tab.Uncertainty.Levels!$A$1,MATCH(BU$88,Tab.Uncertainty.Levels!$A:$A,0)-1,MATCH(BU$87&amp;"_"&amp;BS146,Tab.Uncertainty.Levels!$1:$1,0)-1)</f>
        <v>0.2</v>
      </c>
      <c r="BV146" s="13">
        <f ca="1">IFERROR(MIN(BU146/AW146,1,(1-AW146)/AW146),0)</f>
        <v>0</v>
      </c>
      <c r="BW146" s="96">
        <f ca="1">ABS(1+(AW146*(1/(1+AN146/100/AP146*AG146)^2-1)))*BJ146*$AG146</f>
        <v>0.36</v>
      </c>
      <c r="BX146" s="96">
        <f ca="1">ABS(-AG146+1/(1/AG146+AN146/100/AP146))*BV146*AW146</f>
        <v>0</v>
      </c>
      <c r="BY146" s="96">
        <f ca="1">ABS(-AW146*AP146/((AP146/AG146+AN146/100)^2))*(BO146*AN146/100)</f>
        <v>0</v>
      </c>
      <c r="BZ146" s="202">
        <f ca="1">ABS(AW146*AN146/100/(1/AG146*AP146+AN146/100)^2)*(BR146*AP146)</f>
        <v>0</v>
      </c>
      <c r="CA146" s="103">
        <f t="shared" ca="1" si="32"/>
        <v>0.36</v>
      </c>
      <c r="CB146" s="37">
        <f t="shared" ca="1" si="67"/>
        <v>0.3</v>
      </c>
      <c r="CC146" s="37">
        <f t="shared" ca="1" si="68"/>
        <v>0</v>
      </c>
      <c r="CD146" s="37">
        <f t="shared" ca="1" si="69"/>
        <v>0</v>
      </c>
      <c r="CE146" s="37">
        <f t="shared" ca="1" si="70"/>
        <v>0</v>
      </c>
      <c r="CF146" s="13">
        <f t="shared" ca="1" si="71"/>
        <v>0.3</v>
      </c>
      <c r="CG146" s="101">
        <f ca="1">AG146</f>
        <v>1.2</v>
      </c>
      <c r="CH146" s="101">
        <f>AW146</f>
        <v>1</v>
      </c>
      <c r="CI146" s="203">
        <f>IF(CH146&gt;0,AN146,0)</f>
        <v>0</v>
      </c>
      <c r="CJ146" s="102">
        <f>IF(AND(CH146&gt;0,CI146&gt;0),AP146,0)</f>
        <v>0</v>
      </c>
      <c r="CK146" s="102">
        <f ca="1">BB146</f>
        <v>1.2</v>
      </c>
      <c r="CL146" s="37">
        <f t="shared" ca="1" si="49"/>
        <v>0.3</v>
      </c>
      <c r="CM146" s="37">
        <f t="shared" ca="1" si="50"/>
        <v>0</v>
      </c>
      <c r="CN146" s="37">
        <f t="shared" ca="1" si="51"/>
        <v>0</v>
      </c>
      <c r="CO146" s="37">
        <f t="shared" ca="1" si="52"/>
        <v>0.2</v>
      </c>
      <c r="CP146" s="37">
        <f t="shared" ca="1" si="53"/>
        <v>0.3</v>
      </c>
      <c r="CQ146" s="95">
        <f t="shared" ca="1" si="54"/>
        <v>0.36</v>
      </c>
      <c r="CR146" s="95">
        <f t="shared" ca="1" si="55"/>
        <v>0</v>
      </c>
      <c r="CS146" s="95">
        <f t="shared" ca="1" si="56"/>
        <v>0</v>
      </c>
      <c r="CT146" s="103">
        <f t="shared" ca="1" si="57"/>
        <v>0</v>
      </c>
      <c r="CU146" s="95">
        <f t="shared" ca="1" si="58"/>
        <v>0.36</v>
      </c>
      <c r="CV146" s="37">
        <f ca="1">$CB146^2/$CF146^2</f>
        <v>1</v>
      </c>
      <c r="CW146" s="37">
        <f ca="1">$CD146^2/$CF146^2</f>
        <v>0</v>
      </c>
      <c r="CX146" s="37">
        <f ca="1">$CE146^2/$CF146^2</f>
        <v>0</v>
      </c>
      <c r="CY146" s="37">
        <f ca="1">$CC146^2/$CF146^2</f>
        <v>0</v>
      </c>
      <c r="DA146" s="98" t="s">
        <v>214</v>
      </c>
      <c r="DB146" s="36">
        <f ca="1">OFFSET($A$1,ROW(DB146)-1,MATCH(DA146,$1:$1,0)-1)</f>
        <v>0</v>
      </c>
      <c r="DC146" s="9">
        <f ca="1">BB146</f>
        <v>1.2</v>
      </c>
      <c r="DD146" s="9">
        <f ca="1">$DC146+$CA146</f>
        <v>1.56</v>
      </c>
      <c r="DE146" s="9">
        <f ca="1">$DC146-$CA146</f>
        <v>0.84</v>
      </c>
      <c r="DF146" s="10">
        <f t="shared" ca="1" si="87"/>
        <v>0.30000000000000004</v>
      </c>
    </row>
    <row r="147" spans="1:110" s="8" customFormat="1" ht="32.4" customHeight="1">
      <c r="A147" s="206" t="s">
        <v>583</v>
      </c>
      <c r="B147" s="208" t="s">
        <v>2344</v>
      </c>
      <c r="C147" s="206" t="str">
        <f t="shared" si="88"/>
        <v>Parameter-Variation: d_Insulation = 4 cm</v>
      </c>
      <c r="D147" s="206"/>
      <c r="E147" s="206" t="s">
        <v>198</v>
      </c>
      <c r="F147" s="206" t="str">
        <f t="shared" si="94"/>
        <v>4 cm</v>
      </c>
      <c r="G147" s="206" t="s">
        <v>2170</v>
      </c>
      <c r="H147" s="206" t="s">
        <v>2171</v>
      </c>
      <c r="I147" s="156" t="s">
        <v>80</v>
      </c>
      <c r="J147" s="156" t="s">
        <v>134</v>
      </c>
      <c r="K147" s="156" t="s">
        <v>155</v>
      </c>
      <c r="L147" s="156" t="s">
        <v>66</v>
      </c>
      <c r="M147" s="156" t="s">
        <v>188</v>
      </c>
      <c r="N147" s="7">
        <v>1960</v>
      </c>
      <c r="O147" s="156">
        <v>1</v>
      </c>
      <c r="P147" s="156">
        <v>0</v>
      </c>
      <c r="Q147" s="156" t="s">
        <v>435</v>
      </c>
      <c r="R147" s="156" t="s">
        <v>58</v>
      </c>
      <c r="S147" s="19">
        <v>4</v>
      </c>
      <c r="T147" s="19">
        <v>1</v>
      </c>
      <c r="U147" s="19">
        <v>2016</v>
      </c>
      <c r="V147" s="19" t="e">
        <v>#N/A</v>
      </c>
      <c r="W147" s="28" t="s">
        <v>59</v>
      </c>
      <c r="X147" s="19" t="e">
        <v>#N/A</v>
      </c>
      <c r="Y147" s="105">
        <f ca="1">IFERROR(OFFSET(Tab.Const.ConstrBorder!$A$1,MATCH(Q147,Tab.Const.ConstrBorder!$A:$A,0)-1,MATCH(Y$87,Tab.Const.ConstrBorder!$1:$1,0)-1),0)</f>
        <v>0</v>
      </c>
      <c r="Z147" s="18">
        <f t="shared" si="27"/>
        <v>1960</v>
      </c>
      <c r="AA147" s="17">
        <f>MATCH(Z147,Tab.Year.Period!$11:$11,1)-3</f>
        <v>5</v>
      </c>
      <c r="AB147" s="17">
        <f>MATCH(AB$88&amp;"."&amp;TEXT(AA147,"00"),Tab.U.Default!$A:$A,0)</f>
        <v>28</v>
      </c>
      <c r="AC147" s="105">
        <f ca="1">OFFSET(Tab.U.Default!$A$1,$AB147-1,MATCH("U_Class_"&amp;IF($J147="TopCeiling","UpperCeiling",$J147)&amp;"_"&amp;AC$87,Tab.U.Default!$1:$1,0)-1)</f>
        <v>1.2</v>
      </c>
      <c r="AD147" s="105">
        <f ca="1">OFFSET(Tab.U.Default!$A$1,$AB147-1,MATCH("U_Class_"&amp;IF($J147="TopCeiling","UpperCeiling",$J147)&amp;"_"&amp;AD$87,Tab.U.Default!$1:$1,0)-1)</f>
        <v>1.2</v>
      </c>
      <c r="AE147" s="105">
        <f ca="1">OFFSET(Tab.U.Default!$A$1,$AB147-1,MATCH("U_Class_"&amp;IF($J147="TopCeiling","UpperCeiling",$J147)&amp;"_"&amp;AE$87,Tab.U.Default!$1:$1,0)-1)</f>
        <v>0.8</v>
      </c>
      <c r="AF147" s="26">
        <f t="shared" ca="1" si="0"/>
        <v>1.2</v>
      </c>
      <c r="AG147" s="26">
        <f t="shared" ca="1" si="48"/>
        <v>1.2</v>
      </c>
      <c r="AH147" s="18" t="str">
        <f t="shared" si="59"/>
        <v>Refurbish</v>
      </c>
      <c r="AI147" s="18" t="str">
        <f t="shared" si="28"/>
        <v>Add</v>
      </c>
      <c r="AJ147" s="18">
        <f t="shared" si="3"/>
        <v>2016</v>
      </c>
      <c r="AK147" s="17">
        <f>MATCH(AJ147,Tab.Year.Period!$11:$11,1)-3</f>
        <v>12</v>
      </c>
      <c r="AL147" s="17">
        <f>MATCH(AL$88&amp;"."&amp;TEXT(AK147,"00"),Tab.Insulation.Default!$A:$A,0)</f>
        <v>23</v>
      </c>
      <c r="AM147" s="20" t="e">
        <f ca="1">IF(ISNA(IF(S147="",#N/A,S147)),OFFSET(Tab.Insulation.Default!$A$1,$AL147-1,MATCH(AM$87&amp;"_"&amp;$K147,Tab.Insulation.Default!$1:$1,0)-1),#N/A)</f>
        <v>#N/A</v>
      </c>
      <c r="AN147" s="27">
        <f t="shared" si="29"/>
        <v>4</v>
      </c>
      <c r="AO147" s="22">
        <f ca="1">IF(ISNA(IF(V147="",#N/A,V147)),OFFSET(Tab.Insulation.Default!$A$1,$AL147-1,MATCH(AO$87&amp;"_"&amp;$K147,Tab.Insulation.Default!$1:$1,0)-1),#N/A)</f>
        <v>3.5000000000000003E-2</v>
      </c>
      <c r="AP147" s="23">
        <f t="shared" ca="1" si="30"/>
        <v>3.5000000000000003E-2</v>
      </c>
      <c r="AQ147" s="29" t="str">
        <f t="shared" si="60"/>
        <v>Gen.Refurbished.12</v>
      </c>
      <c r="AR147" s="17">
        <f>MATCH(AR$88&amp;"."&amp;AQ147,Tab.Measure.f.Default!$A:$A,0)</f>
        <v>23</v>
      </c>
      <c r="AS147" s="21">
        <f ca="1">OFFSET(Tab.Measure.f.Default!$A$1,AR147-1,MATCH(AS$87&amp;"_"&amp;$J147,Tab.Measure.f.Default!$1:$1,0)-1)</f>
        <v>0.75</v>
      </c>
      <c r="AT147" s="29" t="str">
        <f t="shared" si="61"/>
        <v>MUH.NA.05</v>
      </c>
      <c r="AU147" s="17">
        <f>MATCH(AU$88&amp;"."&amp;AT147,Tab.Measure.f.Default!$A:$A,0)</f>
        <v>40</v>
      </c>
      <c r="AV147" s="21">
        <f ca="1">OFFSET(Tab.Measure.f.Default!$A$1,AU147-1,MATCH(AV$87&amp;"_"&amp;$J147,Tab.Measure.f.Default!$1:$1,0)-1)</f>
        <v>0.37</v>
      </c>
      <c r="AW147" s="30">
        <f t="shared" si="33"/>
        <v>1</v>
      </c>
      <c r="AX147" s="9">
        <f t="shared" ca="1" si="62"/>
        <v>0.83333333333333337</v>
      </c>
      <c r="AY147" s="9">
        <f t="shared" ca="1" si="63"/>
        <v>1.1428571428571428</v>
      </c>
      <c r="AZ147" s="9">
        <f t="shared" ca="1" si="89"/>
        <v>1.9761904761904763</v>
      </c>
      <c r="BA147" s="9">
        <f t="shared" ca="1" si="90"/>
        <v>0.50602409638554213</v>
      </c>
      <c r="BB147" s="9">
        <f t="shared" ca="1" si="64"/>
        <v>0.50602409638554213</v>
      </c>
      <c r="BC147" s="32" t="str">
        <f t="shared" si="65"/>
        <v>D</v>
      </c>
      <c r="BD147" s="20" t="str">
        <f ca="1">OFFSET(Tab.Uncertainty.Levels!$A$1,MATCH(BD$88,Tab.Uncertainty.Levels!$A:$A,0)-1,MATCH(BD$87&amp;"_"&amp;BC147,Tab.Uncertainty.Levels!$1:$1,0)-1)</f>
        <v>Use of default values; building constructed until 1983</v>
      </c>
      <c r="BE147" s="24">
        <f ca="1">OFFSET(Tab.Uncertainty.Levels!$A$1,MATCH(BE$88,Tab.Uncertainty.Levels!$A:$A,0)-1,MATCH(BE$87&amp;"_"&amp;BC147,Tab.Uncertainty.Levels!$1:$1,0)-1)</f>
        <v>0.3</v>
      </c>
      <c r="BF147" s="32" t="str">
        <f t="shared" si="66"/>
        <v>-</v>
      </c>
      <c r="BG147" s="20" t="e">
        <f ca="1">OFFSET(Tab.Uncertainty.Levels!$A$1,MATCH(BG$88,Tab.Uncertainty.Levels!$A:$A,0)-1,MATCH(BG$87&amp;"_"&amp;BF147,Tab.Uncertainty.Levels!$1:$1,0)-1)</f>
        <v>#N/A</v>
      </c>
      <c r="BH147" s="24" t="e">
        <f ca="1">OFFSET(Tab.Uncertainty.Levels!$A$1,MATCH(BH$88,Tab.Uncertainty.Levels!$A:$A,0)-1,MATCH(BH$87&amp;"_"&amp;BF147,Tab.Uncertainty.Levels!$1:$1,0)-1)</f>
        <v>#N/A</v>
      </c>
      <c r="BI147" s="32" t="str">
        <f t="shared" si="31"/>
        <v>D</v>
      </c>
      <c r="BJ147" s="13">
        <f ca="1">IF(BF147="-",BE147,BH147)</f>
        <v>0.3</v>
      </c>
      <c r="BK147" s="32" t="str">
        <f>IF(OR($L147="NoDataSource",IFERROR(IF($S147="",#N/A,$S147),0)=0),IF(IFERROR(IF(U147="",#N/A,U147),0)=0,"E","D"),IF($L147="DesignDataPlusQA","A",IF($L147="DesignData","B","C")))</f>
        <v>C</v>
      </c>
      <c r="BL147" s="20" t="str">
        <f ca="1">OFFSET(Tab.Uncertainty.Levels!$A$1,MATCH(BL$88,Tab.Uncertainty.Levels!$A:$A,0)-1,MATCH(BL$87&amp;"_"&amp;BK147,Tab.Uncertainty.Levels!$1:$1,0)-1)</f>
        <v>Insulation thickness determined by inspection onsite / record or statement of owner</v>
      </c>
      <c r="BM147" s="24">
        <f ca="1">OFFSET(Tab.Uncertainty.Levels!$A$1,MATCH(BM$88,Tab.Uncertainty.Levels!$A:$A,0)-1,MATCH(BM$87&amp;"_"&amp;BK147,Tab.Uncertainty.Levels!$1:$1,0)-1)</f>
        <v>0.25</v>
      </c>
      <c r="BN147" s="34">
        <f ca="1">OFFSET(Tab.Uncertainty.Levels!$A$1,MATCH(BN$88,Tab.Uncertainty.Levels!$A:$A,0)-1,MATCH(BN$87&amp;"_"&amp;BK147,Tab.Uncertainty.Levels!$1:$1,0)-1)</f>
        <v>2</v>
      </c>
      <c r="BO147" s="13">
        <f ca="1">IFERROR(MIN(BM147,BN147/AN147),0)</f>
        <v>0.25</v>
      </c>
      <c r="BP147" s="32" t="str">
        <f>IF(OR($L147="NoDataSource",IFERROR(IF($V147="",#N/A,$V147),0)=0),IF(IFERROR(IF(U147="",#N/A,U147),0)=0,"E","D"),IF($L147="DesignDataPlusQA","A",IF($L147="DesignData","B","C")))</f>
        <v>D</v>
      </c>
      <c r="BQ147" s="20" t="str">
        <f ca="1">OFFSET(Tab.Uncertainty.Levels!$A$1,MATCH(BQ$88,Tab.Uncertainty.Levels!$A:$A,0)-1,MATCH(BQ$87&amp;"_"&amp;BP147,Tab.Uncertainty.Levels!$1:$1,0)-1)</f>
        <v>Insulation available; no information about material</v>
      </c>
      <c r="BR147" s="97">
        <f ca="1">OFFSET(Tab.Uncertainty.Levels!$A$1,MATCH(BR$88,Tab.Uncertainty.Levels!$A:$A,0)-1,MATCH(BR$87&amp;"_"&amp;BP147,Tab.Uncertainty.Levels!$1:$1,0)-1)</f>
        <v>0.2</v>
      </c>
      <c r="BS147" s="32" t="str">
        <f>IF(L147="NoDataSource","D",IF(IFERROR(IF($T147="",#N/A,$T147),0)=0,IF(OR(IFERROR(IF($S147="",#N/A,$S147),0)&gt;0,$R147="Refurbish"),"D","E"),IF($L147="DesignDataPlusQA","A",IF($L147="DesignData","B","C"))))</f>
        <v>C</v>
      </c>
      <c r="BT147" s="20" t="str">
        <f ca="1">OFFSET(Tab.Uncertainty.Levels!$A$1,MATCH(BT$88,Tab.Uncertainty.Levels!$A:$A,0)-1,MATCH(BT$87&amp;"_"&amp;BS147,Tab.Uncertainty.Levels!$1:$1,0)-1)</f>
        <v>Insulation fraction determined by inspection onsite / record or statement of owner</v>
      </c>
      <c r="BU147" s="33">
        <f ca="1">OFFSET(Tab.Uncertainty.Levels!$A$1,MATCH(BU$88,Tab.Uncertainty.Levels!$A:$A,0)-1,MATCH(BU$87&amp;"_"&amp;BS147,Tab.Uncertainty.Levels!$1:$1,0)-1)</f>
        <v>0.2</v>
      </c>
      <c r="BV147" s="13">
        <f ca="1">IFERROR(MIN(BU147/AW147,1,(1-AW147)/AW147),0)</f>
        <v>0</v>
      </c>
      <c r="BW147" s="96">
        <f ca="1">ABS(1+(AW147*(1/(1+AN147/100/AP147*AG147)^2-1)))*BJ147*$AG147</f>
        <v>6.4015096530701143E-2</v>
      </c>
      <c r="BX147" s="96">
        <f ca="1">ABS(-AG147+1/(1/AG147+AN147/100/AP147))*BV147*AW147</f>
        <v>0</v>
      </c>
      <c r="BY147" s="96">
        <f ca="1">ABS(-AW147*AP147/((AP147/AG147+AN147/100)^2))*(BO147*AN147/100)</f>
        <v>7.3160110320801289E-2</v>
      </c>
      <c r="BZ147" s="202">
        <f ca="1">ABS(AW147*AN147/100/(1/AG147*AP147+AN147/100)^2)*(BR147*AP147)</f>
        <v>5.8528088256641034E-2</v>
      </c>
      <c r="CA147" s="103">
        <f t="shared" ca="1" si="32"/>
        <v>0.11347189714182082</v>
      </c>
      <c r="CB147" s="37">
        <f t="shared" ca="1" si="67"/>
        <v>0.12650602409638559</v>
      </c>
      <c r="CC147" s="37">
        <f t="shared" ca="1" si="68"/>
        <v>0</v>
      </c>
      <c r="CD147" s="37">
        <f t="shared" ca="1" si="69"/>
        <v>0.14457831325301207</v>
      </c>
      <c r="CE147" s="37">
        <f t="shared" ca="1" si="70"/>
        <v>0.11566265060240967</v>
      </c>
      <c r="CF147" s="13">
        <f t="shared" ca="1" si="71"/>
        <v>0.22424208244693164</v>
      </c>
      <c r="CG147" s="101">
        <f ca="1">AG147</f>
        <v>1.2</v>
      </c>
      <c r="CH147" s="101">
        <f>AW147</f>
        <v>1</v>
      </c>
      <c r="CI147" s="203">
        <f>IF(CH147&gt;0,AN147,0)</f>
        <v>4</v>
      </c>
      <c r="CJ147" s="102">
        <f ca="1">IF(AND(CH147&gt;0,CI147&gt;0),AP147,0)</f>
        <v>3.5000000000000003E-2</v>
      </c>
      <c r="CK147" s="102">
        <f ca="1">BB147</f>
        <v>0.50602409638554213</v>
      </c>
      <c r="CL147" s="37">
        <f t="shared" ca="1" si="49"/>
        <v>0.3</v>
      </c>
      <c r="CM147" s="37">
        <f t="shared" ca="1" si="50"/>
        <v>0</v>
      </c>
      <c r="CN147" s="37">
        <f t="shared" ca="1" si="51"/>
        <v>0.25</v>
      </c>
      <c r="CO147" s="37">
        <f t="shared" ca="1" si="52"/>
        <v>0.2</v>
      </c>
      <c r="CP147" s="37">
        <f t="shared" ca="1" si="53"/>
        <v>0.22424208244693164</v>
      </c>
      <c r="CQ147" s="95">
        <f t="shared" ca="1" si="54"/>
        <v>0.36</v>
      </c>
      <c r="CR147" s="95">
        <f t="shared" ca="1" si="55"/>
        <v>0</v>
      </c>
      <c r="CS147" s="95">
        <f t="shared" ca="1" si="56"/>
        <v>1</v>
      </c>
      <c r="CT147" s="103">
        <f t="shared" ca="1" si="57"/>
        <v>7.000000000000001E-3</v>
      </c>
      <c r="CU147" s="95">
        <f t="shared" ca="1" si="58"/>
        <v>0.11347189714182082</v>
      </c>
      <c r="CV147" s="37">
        <f ca="1">$CB147^2/$CF147^2</f>
        <v>0.31826448428163162</v>
      </c>
      <c r="CW147" s="37">
        <f ca="1">$CD147^2/$CF147^2</f>
        <v>0.41569238763315125</v>
      </c>
      <c r="CX147" s="37">
        <f ca="1">$CE147^2/$CF147^2</f>
        <v>0.26604312808521685</v>
      </c>
      <c r="CY147" s="37">
        <f ca="1">$CC147^2/$CF147^2</f>
        <v>0</v>
      </c>
      <c r="DA147" s="98" t="s">
        <v>214</v>
      </c>
      <c r="DB147" s="36">
        <f ca="1">OFFSET($A$1,ROW(DB147)-1,MATCH(DA147,$1:$1,0)-1)</f>
        <v>4</v>
      </c>
      <c r="DC147" s="9">
        <f ca="1">BB147</f>
        <v>0.50602409638554213</v>
      </c>
      <c r="DD147" s="9">
        <f ca="1">$DC147+$CA147</f>
        <v>0.61949599352736295</v>
      </c>
      <c r="DE147" s="9">
        <f ca="1">$DC147-$CA147</f>
        <v>0.39255219924372131</v>
      </c>
      <c r="DF147" s="10">
        <f t="shared" ca="1" si="87"/>
        <v>0.22424208244693164</v>
      </c>
    </row>
    <row r="148" spans="1:110" s="8" customFormat="1" ht="32.4" customHeight="1">
      <c r="A148" s="206" t="s">
        <v>584</v>
      </c>
      <c r="B148" s="208" t="s">
        <v>2344</v>
      </c>
      <c r="C148" s="206" t="str">
        <f t="shared" si="88"/>
        <v>Parameter-Variation: d_Insulation = 8 cm</v>
      </c>
      <c r="D148" s="206"/>
      <c r="E148" s="206" t="s">
        <v>198</v>
      </c>
      <c r="F148" s="206" t="str">
        <f t="shared" si="94"/>
        <v>8 cm</v>
      </c>
      <c r="G148" s="206" t="s">
        <v>2170</v>
      </c>
      <c r="H148" s="206" t="s">
        <v>2171</v>
      </c>
      <c r="I148" s="156" t="s">
        <v>80</v>
      </c>
      <c r="J148" s="156" t="s">
        <v>134</v>
      </c>
      <c r="K148" s="156" t="s">
        <v>155</v>
      </c>
      <c r="L148" s="156" t="s">
        <v>66</v>
      </c>
      <c r="M148" s="156" t="s">
        <v>188</v>
      </c>
      <c r="N148" s="7">
        <v>1960</v>
      </c>
      <c r="O148" s="156">
        <v>1</v>
      </c>
      <c r="P148" s="156">
        <v>0</v>
      </c>
      <c r="Q148" s="156" t="s">
        <v>435</v>
      </c>
      <c r="R148" s="156" t="s">
        <v>58</v>
      </c>
      <c r="S148" s="19">
        <v>8</v>
      </c>
      <c r="T148" s="19">
        <v>1</v>
      </c>
      <c r="U148" s="19">
        <v>2016</v>
      </c>
      <c r="V148" s="19" t="e">
        <v>#N/A</v>
      </c>
      <c r="W148" s="28" t="s">
        <v>59</v>
      </c>
      <c r="X148" s="19" t="e">
        <v>#N/A</v>
      </c>
      <c r="Y148" s="105">
        <f ca="1">IFERROR(OFFSET(Tab.Const.ConstrBorder!$A$1,MATCH(Q148,Tab.Const.ConstrBorder!$A:$A,0)-1,MATCH(Y$87,Tab.Const.ConstrBorder!$1:$1,0)-1),0)</f>
        <v>0</v>
      </c>
      <c r="Z148" s="18">
        <f t="shared" si="27"/>
        <v>1960</v>
      </c>
      <c r="AA148" s="17">
        <f>MATCH(Z148,Tab.Year.Period!$11:$11,1)-3</f>
        <v>5</v>
      </c>
      <c r="AB148" s="17">
        <f>MATCH(AB$88&amp;"."&amp;TEXT(AA148,"00"),Tab.U.Default!$A:$A,0)</f>
        <v>28</v>
      </c>
      <c r="AC148" s="105">
        <f ca="1">OFFSET(Tab.U.Default!$A$1,$AB148-1,MATCH("U_Class_"&amp;IF($J148="TopCeiling","UpperCeiling",$J148)&amp;"_"&amp;AC$87,Tab.U.Default!$1:$1,0)-1)</f>
        <v>1.2</v>
      </c>
      <c r="AD148" s="105">
        <f ca="1">OFFSET(Tab.U.Default!$A$1,$AB148-1,MATCH("U_Class_"&amp;IF($J148="TopCeiling","UpperCeiling",$J148)&amp;"_"&amp;AD$87,Tab.U.Default!$1:$1,0)-1)</f>
        <v>1.2</v>
      </c>
      <c r="AE148" s="105">
        <f ca="1">OFFSET(Tab.U.Default!$A$1,$AB148-1,MATCH("U_Class_"&amp;IF($J148="TopCeiling","UpperCeiling",$J148)&amp;"_"&amp;AE$87,Tab.U.Default!$1:$1,0)-1)</f>
        <v>0.8</v>
      </c>
      <c r="AF148" s="26">
        <f t="shared" ca="1" si="0"/>
        <v>1.2</v>
      </c>
      <c r="AG148" s="26">
        <f t="shared" ca="1" si="48"/>
        <v>1.2</v>
      </c>
      <c r="AH148" s="18" t="str">
        <f t="shared" si="59"/>
        <v>Refurbish</v>
      </c>
      <c r="AI148" s="18" t="str">
        <f t="shared" si="28"/>
        <v>Add</v>
      </c>
      <c r="AJ148" s="18">
        <f t="shared" si="3"/>
        <v>2016</v>
      </c>
      <c r="AK148" s="17">
        <f>MATCH(AJ148,Tab.Year.Period!$11:$11,1)-3</f>
        <v>12</v>
      </c>
      <c r="AL148" s="17">
        <f>MATCH(AL$88&amp;"."&amp;TEXT(AK148,"00"),Tab.Insulation.Default!$A:$A,0)</f>
        <v>23</v>
      </c>
      <c r="AM148" s="20" t="e">
        <f ca="1">IF(ISNA(IF(S148="",#N/A,S148)),OFFSET(Tab.Insulation.Default!$A$1,$AL148-1,MATCH(AM$87&amp;"_"&amp;$K148,Tab.Insulation.Default!$1:$1,0)-1),#N/A)</f>
        <v>#N/A</v>
      </c>
      <c r="AN148" s="27">
        <f t="shared" si="29"/>
        <v>8</v>
      </c>
      <c r="AO148" s="22">
        <f ca="1">IF(ISNA(IF(V148="",#N/A,V148)),OFFSET(Tab.Insulation.Default!$A$1,$AL148-1,MATCH(AO$87&amp;"_"&amp;$K148,Tab.Insulation.Default!$1:$1,0)-1),#N/A)</f>
        <v>3.5000000000000003E-2</v>
      </c>
      <c r="AP148" s="23">
        <f t="shared" ca="1" si="30"/>
        <v>3.5000000000000003E-2</v>
      </c>
      <c r="AQ148" s="29" t="str">
        <f t="shared" si="60"/>
        <v>Gen.Refurbished.12</v>
      </c>
      <c r="AR148" s="17">
        <f>MATCH(AR$88&amp;"."&amp;AQ148,Tab.Measure.f.Default!$A:$A,0)</f>
        <v>23</v>
      </c>
      <c r="AS148" s="21">
        <f ca="1">OFFSET(Tab.Measure.f.Default!$A$1,AR148-1,MATCH(AS$87&amp;"_"&amp;$J148,Tab.Measure.f.Default!$1:$1,0)-1)</f>
        <v>0.75</v>
      </c>
      <c r="AT148" s="29" t="str">
        <f t="shared" si="61"/>
        <v>MUH.NA.05</v>
      </c>
      <c r="AU148" s="17">
        <f>MATCH(AU$88&amp;"."&amp;AT148,Tab.Measure.f.Default!$A:$A,0)</f>
        <v>40</v>
      </c>
      <c r="AV148" s="21">
        <f ca="1">OFFSET(Tab.Measure.f.Default!$A$1,AU148-1,MATCH(AV$87&amp;"_"&amp;$J148,Tab.Measure.f.Default!$1:$1,0)-1)</f>
        <v>0.37</v>
      </c>
      <c r="AW148" s="30">
        <f t="shared" si="33"/>
        <v>1</v>
      </c>
      <c r="AX148" s="9">
        <f t="shared" ca="1" si="62"/>
        <v>0.83333333333333337</v>
      </c>
      <c r="AY148" s="9">
        <f t="shared" ca="1" si="63"/>
        <v>2.2857142857142856</v>
      </c>
      <c r="AZ148" s="9">
        <f t="shared" ca="1" si="89"/>
        <v>3.1190476190476191</v>
      </c>
      <c r="BA148" s="9">
        <f t="shared" ca="1" si="90"/>
        <v>0.32061068702290074</v>
      </c>
      <c r="BB148" s="9">
        <f t="shared" ca="1" si="64"/>
        <v>0.32061068702290074</v>
      </c>
      <c r="BC148" s="32" t="str">
        <f t="shared" si="65"/>
        <v>D</v>
      </c>
      <c r="BD148" s="20" t="str">
        <f ca="1">OFFSET(Tab.Uncertainty.Levels!$A$1,MATCH(BD$88,Tab.Uncertainty.Levels!$A:$A,0)-1,MATCH(BD$87&amp;"_"&amp;BC148,Tab.Uncertainty.Levels!$1:$1,0)-1)</f>
        <v>Use of default values; building constructed until 1983</v>
      </c>
      <c r="BE148" s="24">
        <f ca="1">OFFSET(Tab.Uncertainty.Levels!$A$1,MATCH(BE$88,Tab.Uncertainty.Levels!$A:$A,0)-1,MATCH(BE$87&amp;"_"&amp;BC148,Tab.Uncertainty.Levels!$1:$1,0)-1)</f>
        <v>0.3</v>
      </c>
      <c r="BF148" s="32" t="str">
        <f t="shared" si="66"/>
        <v>-</v>
      </c>
      <c r="BG148" s="20" t="e">
        <f ca="1">OFFSET(Tab.Uncertainty.Levels!$A$1,MATCH(BG$88,Tab.Uncertainty.Levels!$A:$A,0)-1,MATCH(BG$87&amp;"_"&amp;BF148,Tab.Uncertainty.Levels!$1:$1,0)-1)</f>
        <v>#N/A</v>
      </c>
      <c r="BH148" s="24" t="e">
        <f ca="1">OFFSET(Tab.Uncertainty.Levels!$A$1,MATCH(BH$88,Tab.Uncertainty.Levels!$A:$A,0)-1,MATCH(BH$87&amp;"_"&amp;BF148,Tab.Uncertainty.Levels!$1:$1,0)-1)</f>
        <v>#N/A</v>
      </c>
      <c r="BI148" s="32" t="str">
        <f t="shared" si="31"/>
        <v>D</v>
      </c>
      <c r="BJ148" s="13">
        <f ca="1">IF(BF148="-",BE148,BH148)</f>
        <v>0.3</v>
      </c>
      <c r="BK148" s="32" t="str">
        <f>IF(OR($L148="NoDataSource",IFERROR(IF($S148="",#N/A,$S148),0)=0),IF(IFERROR(IF(U148="",#N/A,U148),0)=0,"E","D"),IF($L148="DesignDataPlusQA","A",IF($L148="DesignData","B","C")))</f>
        <v>C</v>
      </c>
      <c r="BL148" s="20" t="str">
        <f ca="1">OFFSET(Tab.Uncertainty.Levels!$A$1,MATCH(BL$88,Tab.Uncertainty.Levels!$A:$A,0)-1,MATCH(BL$87&amp;"_"&amp;BK148,Tab.Uncertainty.Levels!$1:$1,0)-1)</f>
        <v>Insulation thickness determined by inspection onsite / record or statement of owner</v>
      </c>
      <c r="BM148" s="24">
        <f ca="1">OFFSET(Tab.Uncertainty.Levels!$A$1,MATCH(BM$88,Tab.Uncertainty.Levels!$A:$A,0)-1,MATCH(BM$87&amp;"_"&amp;BK148,Tab.Uncertainty.Levels!$1:$1,0)-1)</f>
        <v>0.25</v>
      </c>
      <c r="BN148" s="34">
        <f ca="1">OFFSET(Tab.Uncertainty.Levels!$A$1,MATCH(BN$88,Tab.Uncertainty.Levels!$A:$A,0)-1,MATCH(BN$87&amp;"_"&amp;BK148,Tab.Uncertainty.Levels!$1:$1,0)-1)</f>
        <v>2</v>
      </c>
      <c r="BO148" s="13">
        <f ca="1">IFERROR(MIN(BM148,BN148/AN148),0)</f>
        <v>0.25</v>
      </c>
      <c r="BP148" s="32" t="str">
        <f>IF(OR($L148="NoDataSource",IFERROR(IF($V148="",#N/A,$V148),0)=0),IF(IFERROR(IF(U148="",#N/A,U148),0)=0,"E","D"),IF($L148="DesignDataPlusQA","A",IF($L148="DesignData","B","C")))</f>
        <v>D</v>
      </c>
      <c r="BQ148" s="20" t="str">
        <f ca="1">OFFSET(Tab.Uncertainty.Levels!$A$1,MATCH(BQ$88,Tab.Uncertainty.Levels!$A:$A,0)-1,MATCH(BQ$87&amp;"_"&amp;BP148,Tab.Uncertainty.Levels!$1:$1,0)-1)</f>
        <v>Insulation available; no information about material</v>
      </c>
      <c r="BR148" s="97">
        <f ca="1">OFFSET(Tab.Uncertainty.Levels!$A$1,MATCH(BR$88,Tab.Uncertainty.Levels!$A:$A,0)-1,MATCH(BR$87&amp;"_"&amp;BP148,Tab.Uncertainty.Levels!$1:$1,0)-1)</f>
        <v>0.2</v>
      </c>
      <c r="BS148" s="32" t="str">
        <f>IF(L148="NoDataSource","D",IF(IFERROR(IF($T148="",#N/A,$T148),0)=0,IF(OR(IFERROR(IF($S148="",#N/A,$S148),0)&gt;0,$R148="Refurbish"),"D","E"),IF($L148="DesignDataPlusQA","A",IF($L148="DesignData","B","C"))))</f>
        <v>C</v>
      </c>
      <c r="BT148" s="20" t="str">
        <f ca="1">OFFSET(Tab.Uncertainty.Levels!$A$1,MATCH(BT$88,Tab.Uncertainty.Levels!$A:$A,0)-1,MATCH(BT$87&amp;"_"&amp;BS148,Tab.Uncertainty.Levels!$1:$1,0)-1)</f>
        <v>Insulation fraction determined by inspection onsite / record or statement of owner</v>
      </c>
      <c r="BU148" s="33">
        <f ca="1">OFFSET(Tab.Uncertainty.Levels!$A$1,MATCH(BU$88,Tab.Uncertainty.Levels!$A:$A,0)-1,MATCH(BU$87&amp;"_"&amp;BS148,Tab.Uncertainty.Levels!$1:$1,0)-1)</f>
        <v>0.2</v>
      </c>
      <c r="BV148" s="13">
        <f ca="1">IFERROR(MIN(BU148/AW148,1,(1-AW148)/AW148),0)</f>
        <v>0</v>
      </c>
      <c r="BW148" s="96">
        <f ca="1">ABS(1+(AW148*(1/(1+AN148/100/AP148*AG148)^2-1)))*BJ148*$AG148</f>
        <v>2.5697803158324126E-2</v>
      </c>
      <c r="BX148" s="96">
        <f ca="1">ABS(-AG148+1/(1/AG148+AN148/100/AP148))*BV148*AW148</f>
        <v>0</v>
      </c>
      <c r="BY148" s="96">
        <f ca="1">ABS(-AW148*AP148/((AP148/AG148+AN148/100)^2))*(BO148*AN148/100)</f>
        <v>5.8737835790455099E-2</v>
      </c>
      <c r="BZ148" s="202">
        <f ca="1">ABS(AW148*AN148/100/(1/AG148*AP148+AN148/100)^2)*(BR148*AP148)</f>
        <v>4.6990268632364079E-2</v>
      </c>
      <c r="CA148" s="103">
        <f t="shared" ca="1" si="32"/>
        <v>7.9489595461621154E-2</v>
      </c>
      <c r="CB148" s="37">
        <f t="shared" ca="1" si="67"/>
        <v>8.0152671755725255E-2</v>
      </c>
      <c r="CC148" s="37">
        <f t="shared" ca="1" si="68"/>
        <v>0</v>
      </c>
      <c r="CD148" s="37">
        <f t="shared" ca="1" si="69"/>
        <v>0.18320610687022901</v>
      </c>
      <c r="CE148" s="37">
        <f t="shared" ca="1" si="70"/>
        <v>0.14656488549618321</v>
      </c>
      <c r="CF148" s="13">
        <f t="shared" ca="1" si="71"/>
        <v>0.24793183346362788</v>
      </c>
      <c r="CG148" s="101">
        <f ca="1">AG148</f>
        <v>1.2</v>
      </c>
      <c r="CH148" s="101">
        <f>AW148</f>
        <v>1</v>
      </c>
      <c r="CI148" s="203">
        <f>IF(CH148&gt;0,AN148,0)</f>
        <v>8</v>
      </c>
      <c r="CJ148" s="102">
        <f ca="1">IF(AND(CH148&gt;0,CI148&gt;0),AP148,0)</f>
        <v>3.5000000000000003E-2</v>
      </c>
      <c r="CK148" s="102">
        <f ca="1">BB148</f>
        <v>0.32061068702290074</v>
      </c>
      <c r="CL148" s="37">
        <f t="shared" ca="1" si="49"/>
        <v>0.3</v>
      </c>
      <c r="CM148" s="37">
        <f t="shared" ca="1" si="50"/>
        <v>0</v>
      </c>
      <c r="CN148" s="37">
        <f t="shared" ca="1" si="51"/>
        <v>0.25</v>
      </c>
      <c r="CO148" s="37">
        <f t="shared" ca="1" si="52"/>
        <v>0.2</v>
      </c>
      <c r="CP148" s="37">
        <f t="shared" ca="1" si="53"/>
        <v>0.24793183346362788</v>
      </c>
      <c r="CQ148" s="95">
        <f t="shared" ca="1" si="54"/>
        <v>0.36</v>
      </c>
      <c r="CR148" s="95">
        <f t="shared" ca="1" si="55"/>
        <v>0</v>
      </c>
      <c r="CS148" s="95">
        <f t="shared" ca="1" si="56"/>
        <v>2</v>
      </c>
      <c r="CT148" s="103">
        <f t="shared" ca="1" si="57"/>
        <v>7.000000000000001E-3</v>
      </c>
      <c r="CU148" s="95">
        <f t="shared" ca="1" si="58"/>
        <v>7.948959546162114E-2</v>
      </c>
      <c r="CV148" s="37">
        <f ca="1">$CB148^2/$CF148^2</f>
        <v>0.10451326678611055</v>
      </c>
      <c r="CW148" s="37">
        <f ca="1">$CD148^2/$CF148^2</f>
        <v>0.54602849586212765</v>
      </c>
      <c r="CX148" s="37">
        <f ca="1">$CE148^2/$CF148^2</f>
        <v>0.34945823735176174</v>
      </c>
      <c r="CY148" s="37">
        <f ca="1">$CC148^2/$CF148^2</f>
        <v>0</v>
      </c>
      <c r="DA148" s="98" t="s">
        <v>214</v>
      </c>
      <c r="DB148" s="36">
        <f ca="1">OFFSET($A$1,ROW(DB148)-1,MATCH(DA148,$1:$1,0)-1)</f>
        <v>8</v>
      </c>
      <c r="DC148" s="9">
        <f ca="1">BB148</f>
        <v>0.32061068702290074</v>
      </c>
      <c r="DD148" s="9">
        <f ca="1">$DC148+$CA148</f>
        <v>0.4001002824845219</v>
      </c>
      <c r="DE148" s="9">
        <f ca="1">$DC148-$CA148</f>
        <v>0.24112109156127959</v>
      </c>
      <c r="DF148" s="10">
        <f t="shared" ca="1" si="87"/>
        <v>0.2479318334636279</v>
      </c>
    </row>
    <row r="149" spans="1:110" s="8" customFormat="1" ht="32.4" customHeight="1">
      <c r="A149" s="206" t="s">
        <v>585</v>
      </c>
      <c r="B149" s="208" t="s">
        <v>2344</v>
      </c>
      <c r="C149" s="206" t="str">
        <f t="shared" si="88"/>
        <v>Parameter-Variation: d_Insulation = 12 cm</v>
      </c>
      <c r="D149" s="206"/>
      <c r="E149" s="206" t="s">
        <v>198</v>
      </c>
      <c r="F149" s="206" t="str">
        <f t="shared" si="94"/>
        <v>12 cm</v>
      </c>
      <c r="G149" s="206" t="s">
        <v>2170</v>
      </c>
      <c r="H149" s="206" t="s">
        <v>2171</v>
      </c>
      <c r="I149" s="156" t="s">
        <v>80</v>
      </c>
      <c r="J149" s="156" t="s">
        <v>134</v>
      </c>
      <c r="K149" s="156" t="s">
        <v>155</v>
      </c>
      <c r="L149" s="156" t="s">
        <v>66</v>
      </c>
      <c r="M149" s="156" t="s">
        <v>188</v>
      </c>
      <c r="N149" s="7">
        <v>1960</v>
      </c>
      <c r="O149" s="156">
        <v>1</v>
      </c>
      <c r="P149" s="156">
        <v>0</v>
      </c>
      <c r="Q149" s="156" t="s">
        <v>435</v>
      </c>
      <c r="R149" s="156" t="s">
        <v>58</v>
      </c>
      <c r="S149" s="19">
        <f>S148+4</f>
        <v>12</v>
      </c>
      <c r="T149" s="19">
        <v>1</v>
      </c>
      <c r="U149" s="19">
        <v>2016</v>
      </c>
      <c r="V149" s="19" t="e">
        <v>#N/A</v>
      </c>
      <c r="W149" s="28" t="s">
        <v>59</v>
      </c>
      <c r="X149" s="19" t="e">
        <v>#N/A</v>
      </c>
      <c r="Y149" s="105">
        <f ca="1">IFERROR(OFFSET(Tab.Const.ConstrBorder!$A$1,MATCH(Q149,Tab.Const.ConstrBorder!$A:$A,0)-1,MATCH(Y$87,Tab.Const.ConstrBorder!$1:$1,0)-1),0)</f>
        <v>0</v>
      </c>
      <c r="Z149" s="18">
        <f t="shared" si="27"/>
        <v>1960</v>
      </c>
      <c r="AA149" s="17">
        <f>MATCH(Z149,Tab.Year.Period!$11:$11,1)-3</f>
        <v>5</v>
      </c>
      <c r="AB149" s="17">
        <f>MATCH(AB$88&amp;"."&amp;TEXT(AA149,"00"),Tab.U.Default!$A:$A,0)</f>
        <v>28</v>
      </c>
      <c r="AC149" s="105">
        <f ca="1">OFFSET(Tab.U.Default!$A$1,$AB149-1,MATCH("U_Class_"&amp;IF($J149="TopCeiling","UpperCeiling",$J149)&amp;"_"&amp;AC$87,Tab.U.Default!$1:$1,0)-1)</f>
        <v>1.2</v>
      </c>
      <c r="AD149" s="105">
        <f ca="1">OFFSET(Tab.U.Default!$A$1,$AB149-1,MATCH("U_Class_"&amp;IF($J149="TopCeiling","UpperCeiling",$J149)&amp;"_"&amp;AD$87,Tab.U.Default!$1:$1,0)-1)</f>
        <v>1.2</v>
      </c>
      <c r="AE149" s="105">
        <f ca="1">OFFSET(Tab.U.Default!$A$1,$AB149-1,MATCH("U_Class_"&amp;IF($J149="TopCeiling","UpperCeiling",$J149)&amp;"_"&amp;AE$87,Tab.U.Default!$1:$1,0)-1)</f>
        <v>0.8</v>
      </c>
      <c r="AF149" s="26">
        <f t="shared" ca="1" si="0"/>
        <v>1.2</v>
      </c>
      <c r="AG149" s="26">
        <f t="shared" ca="1" si="48"/>
        <v>1.2</v>
      </c>
      <c r="AH149" s="18" t="str">
        <f t="shared" si="59"/>
        <v>Refurbish</v>
      </c>
      <c r="AI149" s="18" t="str">
        <f t="shared" si="28"/>
        <v>Add</v>
      </c>
      <c r="AJ149" s="18">
        <f t="shared" si="3"/>
        <v>2016</v>
      </c>
      <c r="AK149" s="17">
        <f>MATCH(AJ149,Tab.Year.Period!$11:$11,1)-3</f>
        <v>12</v>
      </c>
      <c r="AL149" s="17">
        <f>MATCH(AL$88&amp;"."&amp;TEXT(AK149,"00"),Tab.Insulation.Default!$A:$A,0)</f>
        <v>23</v>
      </c>
      <c r="AM149" s="20" t="e">
        <f ca="1">IF(ISNA(IF(S149="",#N/A,S149)),OFFSET(Tab.Insulation.Default!$A$1,$AL149-1,MATCH(AM$87&amp;"_"&amp;$K149,Tab.Insulation.Default!$1:$1,0)-1),#N/A)</f>
        <v>#N/A</v>
      </c>
      <c r="AN149" s="27">
        <f t="shared" si="29"/>
        <v>12</v>
      </c>
      <c r="AO149" s="22">
        <f ca="1">IF(ISNA(IF(V149="",#N/A,V149)),OFFSET(Tab.Insulation.Default!$A$1,$AL149-1,MATCH(AO$87&amp;"_"&amp;$K149,Tab.Insulation.Default!$1:$1,0)-1),#N/A)</f>
        <v>3.5000000000000003E-2</v>
      </c>
      <c r="AP149" s="23">
        <f t="shared" ca="1" si="30"/>
        <v>3.5000000000000003E-2</v>
      </c>
      <c r="AQ149" s="29" t="str">
        <f t="shared" si="60"/>
        <v>Gen.Refurbished.12</v>
      </c>
      <c r="AR149" s="17">
        <f>MATCH(AR$88&amp;"."&amp;AQ149,Tab.Measure.f.Default!$A:$A,0)</f>
        <v>23</v>
      </c>
      <c r="AS149" s="21">
        <f ca="1">OFFSET(Tab.Measure.f.Default!$A$1,AR149-1,MATCH(AS$87&amp;"_"&amp;$J149,Tab.Measure.f.Default!$1:$1,0)-1)</f>
        <v>0.75</v>
      </c>
      <c r="AT149" s="29" t="str">
        <f t="shared" si="61"/>
        <v>MUH.NA.05</v>
      </c>
      <c r="AU149" s="17">
        <f>MATCH(AU$88&amp;"."&amp;AT149,Tab.Measure.f.Default!$A:$A,0)</f>
        <v>40</v>
      </c>
      <c r="AV149" s="21">
        <f ca="1">OFFSET(Tab.Measure.f.Default!$A$1,AU149-1,MATCH(AV$87&amp;"_"&amp;$J149,Tab.Measure.f.Default!$1:$1,0)-1)</f>
        <v>0.37</v>
      </c>
      <c r="AW149" s="30">
        <f t="shared" si="33"/>
        <v>1</v>
      </c>
      <c r="AX149" s="9">
        <f t="shared" ca="1" si="62"/>
        <v>0.83333333333333337</v>
      </c>
      <c r="AY149" s="9">
        <f t="shared" ca="1" si="63"/>
        <v>3.4285714285714279</v>
      </c>
      <c r="AZ149" s="9">
        <f t="shared" ca="1" si="89"/>
        <v>4.261904761904761</v>
      </c>
      <c r="BA149" s="9">
        <f t="shared" ca="1" si="90"/>
        <v>0.23463687150837995</v>
      </c>
      <c r="BB149" s="9">
        <f t="shared" ca="1" si="64"/>
        <v>0.23463687150837995</v>
      </c>
      <c r="BC149" s="32" t="str">
        <f t="shared" si="65"/>
        <v>D</v>
      </c>
      <c r="BD149" s="20" t="str">
        <f ca="1">OFFSET(Tab.Uncertainty.Levels!$A$1,MATCH(BD$88,Tab.Uncertainty.Levels!$A:$A,0)-1,MATCH(BD$87&amp;"_"&amp;BC149,Tab.Uncertainty.Levels!$1:$1,0)-1)</f>
        <v>Use of default values; building constructed until 1983</v>
      </c>
      <c r="BE149" s="24">
        <f ca="1">OFFSET(Tab.Uncertainty.Levels!$A$1,MATCH(BE$88,Tab.Uncertainty.Levels!$A:$A,0)-1,MATCH(BE$87&amp;"_"&amp;BC149,Tab.Uncertainty.Levels!$1:$1,0)-1)</f>
        <v>0.3</v>
      </c>
      <c r="BF149" s="32" t="str">
        <f t="shared" si="66"/>
        <v>-</v>
      </c>
      <c r="BG149" s="20" t="e">
        <f ca="1">OFFSET(Tab.Uncertainty.Levels!$A$1,MATCH(BG$88,Tab.Uncertainty.Levels!$A:$A,0)-1,MATCH(BG$87&amp;"_"&amp;BF149,Tab.Uncertainty.Levels!$1:$1,0)-1)</f>
        <v>#N/A</v>
      </c>
      <c r="BH149" s="24" t="e">
        <f ca="1">OFFSET(Tab.Uncertainty.Levels!$A$1,MATCH(BH$88,Tab.Uncertainty.Levels!$A:$A,0)-1,MATCH(BH$87&amp;"_"&amp;BF149,Tab.Uncertainty.Levels!$1:$1,0)-1)</f>
        <v>#N/A</v>
      </c>
      <c r="BI149" s="32" t="str">
        <f t="shared" si="31"/>
        <v>D</v>
      </c>
      <c r="BJ149" s="13">
        <f ca="1">IF(BF149="-",BE149,BH149)</f>
        <v>0.3</v>
      </c>
      <c r="BK149" s="32" t="str">
        <f>IF(OR($L149="NoDataSource",IFERROR(IF($S149="",#N/A,$S149),0)=0),IF(IFERROR(IF(U149="",#N/A,U149),0)=0,"E","D"),IF($L149="DesignDataPlusQA","A",IF($L149="DesignData","B","C")))</f>
        <v>C</v>
      </c>
      <c r="BL149" s="20" t="str">
        <f ca="1">OFFSET(Tab.Uncertainty.Levels!$A$1,MATCH(BL$88,Tab.Uncertainty.Levels!$A:$A,0)-1,MATCH(BL$87&amp;"_"&amp;BK149,Tab.Uncertainty.Levels!$1:$1,0)-1)</f>
        <v>Insulation thickness determined by inspection onsite / record or statement of owner</v>
      </c>
      <c r="BM149" s="24">
        <f ca="1">OFFSET(Tab.Uncertainty.Levels!$A$1,MATCH(BM$88,Tab.Uncertainty.Levels!$A:$A,0)-1,MATCH(BM$87&amp;"_"&amp;BK149,Tab.Uncertainty.Levels!$1:$1,0)-1)</f>
        <v>0.25</v>
      </c>
      <c r="BN149" s="34">
        <f ca="1">OFFSET(Tab.Uncertainty.Levels!$A$1,MATCH(BN$88,Tab.Uncertainty.Levels!$A:$A,0)-1,MATCH(BN$87&amp;"_"&amp;BK149,Tab.Uncertainty.Levels!$1:$1,0)-1)</f>
        <v>2</v>
      </c>
      <c r="BO149" s="13">
        <f ca="1">IFERROR(MIN(BM149,BN149/AN149),0)</f>
        <v>0.16666666666666666</v>
      </c>
      <c r="BP149" s="32" t="str">
        <f>IF(OR($L149="NoDataSource",IFERROR(IF($V149="",#N/A,$V149),0)=0),IF(IFERROR(IF(U149="",#N/A,U149),0)=0,"E","D"),IF($L149="DesignDataPlusQA","A",IF($L149="DesignData","B","C")))</f>
        <v>D</v>
      </c>
      <c r="BQ149" s="20" t="str">
        <f ca="1">OFFSET(Tab.Uncertainty.Levels!$A$1,MATCH(BQ$88,Tab.Uncertainty.Levels!$A:$A,0)-1,MATCH(BQ$87&amp;"_"&amp;BP149,Tab.Uncertainty.Levels!$1:$1,0)-1)</f>
        <v>Insulation available; no information about material</v>
      </c>
      <c r="BR149" s="97">
        <f ca="1">OFFSET(Tab.Uncertainty.Levels!$A$1,MATCH(BR$88,Tab.Uncertainty.Levels!$A:$A,0)-1,MATCH(BR$87&amp;"_"&amp;BP149,Tab.Uncertainty.Levels!$1:$1,0)-1)</f>
        <v>0.2</v>
      </c>
      <c r="BS149" s="32" t="str">
        <f>IF(L149="NoDataSource","D",IF(IFERROR(IF($T149="",#N/A,$T149),0)=0,IF(OR(IFERROR(IF($S149="",#N/A,$S149),0)&gt;0,$R149="Refurbish"),"D","E"),IF($L149="DesignDataPlusQA","A",IF($L149="DesignData","B","C"))))</f>
        <v>C</v>
      </c>
      <c r="BT149" s="20" t="str">
        <f ca="1">OFFSET(Tab.Uncertainty.Levels!$A$1,MATCH(BT$88,Tab.Uncertainty.Levels!$A:$A,0)-1,MATCH(BT$87&amp;"_"&amp;BS149,Tab.Uncertainty.Levels!$1:$1,0)-1)</f>
        <v>Insulation fraction determined by inspection onsite / record or statement of owner</v>
      </c>
      <c r="BU149" s="33">
        <f ca="1">OFFSET(Tab.Uncertainty.Levels!$A$1,MATCH(BU$88,Tab.Uncertainty.Levels!$A:$A,0)-1,MATCH(BU$87&amp;"_"&amp;BS149,Tab.Uncertainty.Levels!$1:$1,0)-1)</f>
        <v>0.2</v>
      </c>
      <c r="BV149" s="13">
        <f ca="1">IFERROR(MIN(BU149/AW149,1,(1-AW149)/AW149),0)</f>
        <v>0</v>
      </c>
      <c r="BW149" s="96">
        <f ca="1">ABS(1+(AW149*(1/(1+AN149/100/AP149*AG149)^2-1)))*BJ149*$AG149</f>
        <v>1.3763615367809984E-2</v>
      </c>
      <c r="BX149" s="96">
        <f ca="1">ABS(-AG149+1/(1/AG149+AN149/100/AP149))*BV149*AW149</f>
        <v>0</v>
      </c>
      <c r="BY149" s="96">
        <f ca="1">ABS(-AW149*AP149/((AP149/AG149+AN149/100)^2))*(BO149*AN149/100)</f>
        <v>3.1459692269279985E-2</v>
      </c>
      <c r="BZ149" s="202">
        <f ca="1">ABS(AW149*AN149/100/(1/AG149*AP149+AN149/100)^2)*(BR149*AP149)</f>
        <v>3.775163072313599E-2</v>
      </c>
      <c r="CA149" s="103">
        <f t="shared" ca="1" si="32"/>
        <v>5.1032685290182747E-2</v>
      </c>
      <c r="CB149" s="37">
        <f t="shared" ca="1" si="67"/>
        <v>5.8659217877094917E-2</v>
      </c>
      <c r="CC149" s="37">
        <f t="shared" ca="1" si="68"/>
        <v>0</v>
      </c>
      <c r="CD149" s="37">
        <f t="shared" ca="1" si="69"/>
        <v>0.13407821229050276</v>
      </c>
      <c r="CE149" s="37">
        <f t="shared" ca="1" si="70"/>
        <v>0.16089385474860335</v>
      </c>
      <c r="CF149" s="13">
        <f t="shared" ca="1" si="71"/>
        <v>0.2174964444510169</v>
      </c>
      <c r="CG149" s="101">
        <f ca="1">AG149</f>
        <v>1.2</v>
      </c>
      <c r="CH149" s="101">
        <f>AW149</f>
        <v>1</v>
      </c>
      <c r="CI149" s="203">
        <f>IF(CH149&gt;0,AN149,0)</f>
        <v>12</v>
      </c>
      <c r="CJ149" s="102">
        <f ca="1">IF(AND(CH149&gt;0,CI149&gt;0),AP149,0)</f>
        <v>3.5000000000000003E-2</v>
      </c>
      <c r="CK149" s="102">
        <f ca="1">BB149</f>
        <v>0.23463687150837995</v>
      </c>
      <c r="CL149" s="37">
        <f t="shared" ca="1" si="49"/>
        <v>0.3</v>
      </c>
      <c r="CM149" s="37">
        <f t="shared" ca="1" si="50"/>
        <v>0</v>
      </c>
      <c r="CN149" s="37">
        <f t="shared" ca="1" si="51"/>
        <v>0.16666666666666666</v>
      </c>
      <c r="CO149" s="37">
        <f t="shared" ca="1" si="52"/>
        <v>0.2</v>
      </c>
      <c r="CP149" s="37">
        <f t="shared" ca="1" si="53"/>
        <v>0.2174964444510169</v>
      </c>
      <c r="CQ149" s="95">
        <f t="shared" ca="1" si="54"/>
        <v>0.36</v>
      </c>
      <c r="CR149" s="95">
        <f t="shared" ca="1" si="55"/>
        <v>0</v>
      </c>
      <c r="CS149" s="95">
        <f t="shared" ca="1" si="56"/>
        <v>2</v>
      </c>
      <c r="CT149" s="103">
        <f t="shared" ca="1" si="57"/>
        <v>7.000000000000001E-3</v>
      </c>
      <c r="CU149" s="95">
        <f t="shared" ca="1" si="58"/>
        <v>5.1032685290182747E-2</v>
      </c>
      <c r="CV149" s="37">
        <f ca="1">$CB149^2/$CF149^2</f>
        <v>7.2739148506620652E-2</v>
      </c>
      <c r="CW149" s="37">
        <f ca="1">$CD149^2/$CF149^2</f>
        <v>0.38002493913663088</v>
      </c>
      <c r="CX149" s="37">
        <f ca="1">$CE149^2/$CF149^2</f>
        <v>0.54723591235674873</v>
      </c>
      <c r="CY149" s="37">
        <f ca="1">$CC149^2/$CF149^2</f>
        <v>0</v>
      </c>
      <c r="DA149" s="98" t="s">
        <v>214</v>
      </c>
      <c r="DB149" s="36">
        <f ca="1">OFFSET($A$1,ROW(DB149)-1,MATCH(DA149,$1:$1,0)-1)</f>
        <v>12</v>
      </c>
      <c r="DC149" s="9">
        <f ca="1">BB149</f>
        <v>0.23463687150837995</v>
      </c>
      <c r="DD149" s="9">
        <f ca="1">$DC149+$CA149</f>
        <v>0.28566955679856271</v>
      </c>
      <c r="DE149" s="9">
        <f ca="1">$DC149-$CA149</f>
        <v>0.18360418621819719</v>
      </c>
      <c r="DF149" s="10">
        <f t="shared" ca="1" si="87"/>
        <v>0.21749644445101696</v>
      </c>
    </row>
    <row r="150" spans="1:110" s="8" customFormat="1" ht="32.4" customHeight="1">
      <c r="A150" s="206" t="s">
        <v>586</v>
      </c>
      <c r="B150" s="208" t="s">
        <v>2344</v>
      </c>
      <c r="C150" s="206" t="str">
        <f t="shared" si="88"/>
        <v>Parameter-Variation: d_Insulation = 16 cm</v>
      </c>
      <c r="D150" s="206"/>
      <c r="E150" s="206" t="s">
        <v>198</v>
      </c>
      <c r="F150" s="206" t="str">
        <f t="shared" si="94"/>
        <v>16 cm</v>
      </c>
      <c r="G150" s="206" t="s">
        <v>2170</v>
      </c>
      <c r="H150" s="206" t="s">
        <v>2171</v>
      </c>
      <c r="I150" s="156" t="s">
        <v>80</v>
      </c>
      <c r="J150" s="156" t="s">
        <v>134</v>
      </c>
      <c r="K150" s="156" t="s">
        <v>155</v>
      </c>
      <c r="L150" s="156" t="s">
        <v>66</v>
      </c>
      <c r="M150" s="156" t="s">
        <v>188</v>
      </c>
      <c r="N150" s="7">
        <v>1960</v>
      </c>
      <c r="O150" s="156">
        <v>1</v>
      </c>
      <c r="P150" s="156">
        <v>0</v>
      </c>
      <c r="Q150" s="156" t="s">
        <v>435</v>
      </c>
      <c r="R150" s="156" t="s">
        <v>58</v>
      </c>
      <c r="S150" s="19">
        <f t="shared" ref="S150:S156" si="95">S149+4</f>
        <v>16</v>
      </c>
      <c r="T150" s="19">
        <v>1</v>
      </c>
      <c r="U150" s="19">
        <v>2016</v>
      </c>
      <c r="V150" s="19" t="e">
        <v>#N/A</v>
      </c>
      <c r="W150" s="28" t="s">
        <v>59</v>
      </c>
      <c r="X150" s="19" t="e">
        <v>#N/A</v>
      </c>
      <c r="Y150" s="105">
        <f ca="1">IFERROR(OFFSET(Tab.Const.ConstrBorder!$A$1,MATCH(Q150,Tab.Const.ConstrBorder!$A:$A,0)-1,MATCH(Y$87,Tab.Const.ConstrBorder!$1:$1,0)-1),0)</f>
        <v>0</v>
      </c>
      <c r="Z150" s="18">
        <f t="shared" si="27"/>
        <v>1960</v>
      </c>
      <c r="AA150" s="17">
        <f>MATCH(Z150,Tab.Year.Period!$11:$11,1)-3</f>
        <v>5</v>
      </c>
      <c r="AB150" s="17">
        <f>MATCH(AB$88&amp;"."&amp;TEXT(AA150,"00"),Tab.U.Default!$A:$A,0)</f>
        <v>28</v>
      </c>
      <c r="AC150" s="105">
        <f ca="1">OFFSET(Tab.U.Default!$A$1,$AB150-1,MATCH("U_Class_"&amp;IF($J150="TopCeiling","UpperCeiling",$J150)&amp;"_"&amp;AC$87,Tab.U.Default!$1:$1,0)-1)</f>
        <v>1.2</v>
      </c>
      <c r="AD150" s="105">
        <f ca="1">OFFSET(Tab.U.Default!$A$1,$AB150-1,MATCH("U_Class_"&amp;IF($J150="TopCeiling","UpperCeiling",$J150)&amp;"_"&amp;AD$87,Tab.U.Default!$1:$1,0)-1)</f>
        <v>1.2</v>
      </c>
      <c r="AE150" s="105">
        <f ca="1">OFFSET(Tab.U.Default!$A$1,$AB150-1,MATCH("U_Class_"&amp;IF($J150="TopCeiling","UpperCeiling",$J150)&amp;"_"&amp;AE$87,Tab.U.Default!$1:$1,0)-1)</f>
        <v>0.8</v>
      </c>
      <c r="AF150" s="26">
        <f t="shared" ca="1" si="0"/>
        <v>1.2</v>
      </c>
      <c r="AG150" s="26">
        <f t="shared" ca="1" si="48"/>
        <v>1.2</v>
      </c>
      <c r="AH150" s="18" t="str">
        <f t="shared" si="59"/>
        <v>Refurbish</v>
      </c>
      <c r="AI150" s="18" t="str">
        <f t="shared" si="28"/>
        <v>Add</v>
      </c>
      <c r="AJ150" s="18">
        <f t="shared" si="3"/>
        <v>2016</v>
      </c>
      <c r="AK150" s="17">
        <f>MATCH(AJ150,Tab.Year.Period!$11:$11,1)-3</f>
        <v>12</v>
      </c>
      <c r="AL150" s="17">
        <f>MATCH(AL$88&amp;"."&amp;TEXT(AK150,"00"),Tab.Insulation.Default!$A:$A,0)</f>
        <v>23</v>
      </c>
      <c r="AM150" s="20" t="e">
        <f ca="1">IF(ISNA(IF(S150="",#N/A,S150)),OFFSET(Tab.Insulation.Default!$A$1,$AL150-1,MATCH(AM$87&amp;"_"&amp;$K150,Tab.Insulation.Default!$1:$1,0)-1),#N/A)</f>
        <v>#N/A</v>
      </c>
      <c r="AN150" s="27">
        <f t="shared" si="29"/>
        <v>16</v>
      </c>
      <c r="AO150" s="22">
        <f ca="1">IF(ISNA(IF(V150="",#N/A,V150)),OFFSET(Tab.Insulation.Default!$A$1,$AL150-1,MATCH(AO$87&amp;"_"&amp;$K150,Tab.Insulation.Default!$1:$1,0)-1),#N/A)</f>
        <v>3.5000000000000003E-2</v>
      </c>
      <c r="AP150" s="23">
        <f t="shared" ca="1" si="30"/>
        <v>3.5000000000000003E-2</v>
      </c>
      <c r="AQ150" s="29" t="str">
        <f t="shared" si="60"/>
        <v>Gen.Refurbished.12</v>
      </c>
      <c r="AR150" s="17">
        <f>MATCH(AR$88&amp;"."&amp;AQ150,Tab.Measure.f.Default!$A:$A,0)</f>
        <v>23</v>
      </c>
      <c r="AS150" s="21">
        <f ca="1">OFFSET(Tab.Measure.f.Default!$A$1,AR150-1,MATCH(AS$87&amp;"_"&amp;$J150,Tab.Measure.f.Default!$1:$1,0)-1)</f>
        <v>0.75</v>
      </c>
      <c r="AT150" s="29" t="str">
        <f t="shared" si="61"/>
        <v>MUH.NA.05</v>
      </c>
      <c r="AU150" s="17">
        <f>MATCH(AU$88&amp;"."&amp;AT150,Tab.Measure.f.Default!$A:$A,0)</f>
        <v>40</v>
      </c>
      <c r="AV150" s="21">
        <f ca="1">OFFSET(Tab.Measure.f.Default!$A$1,AU150-1,MATCH(AV$87&amp;"_"&amp;$J150,Tab.Measure.f.Default!$1:$1,0)-1)</f>
        <v>0.37</v>
      </c>
      <c r="AW150" s="30">
        <f t="shared" si="33"/>
        <v>1</v>
      </c>
      <c r="AX150" s="9">
        <f t="shared" ca="1" si="62"/>
        <v>0.83333333333333337</v>
      </c>
      <c r="AY150" s="9">
        <f t="shared" ca="1" si="63"/>
        <v>4.5714285714285712</v>
      </c>
      <c r="AZ150" s="9">
        <f t="shared" ca="1" si="89"/>
        <v>5.4047619047619042</v>
      </c>
      <c r="BA150" s="9">
        <f t="shared" ca="1" si="90"/>
        <v>0.18502202643171808</v>
      </c>
      <c r="BB150" s="9">
        <f t="shared" ca="1" si="64"/>
        <v>0.18502202643171808</v>
      </c>
      <c r="BC150" s="32" t="str">
        <f t="shared" si="65"/>
        <v>D</v>
      </c>
      <c r="BD150" s="20" t="str">
        <f ca="1">OFFSET(Tab.Uncertainty.Levels!$A$1,MATCH(BD$88,Tab.Uncertainty.Levels!$A:$A,0)-1,MATCH(BD$87&amp;"_"&amp;BC150,Tab.Uncertainty.Levels!$1:$1,0)-1)</f>
        <v>Use of default values; building constructed until 1983</v>
      </c>
      <c r="BE150" s="24">
        <f ca="1">OFFSET(Tab.Uncertainty.Levels!$A$1,MATCH(BE$88,Tab.Uncertainty.Levels!$A:$A,0)-1,MATCH(BE$87&amp;"_"&amp;BC150,Tab.Uncertainty.Levels!$1:$1,0)-1)</f>
        <v>0.3</v>
      </c>
      <c r="BF150" s="32" t="str">
        <f t="shared" si="66"/>
        <v>-</v>
      </c>
      <c r="BG150" s="20" t="e">
        <f ca="1">OFFSET(Tab.Uncertainty.Levels!$A$1,MATCH(BG$88,Tab.Uncertainty.Levels!$A:$A,0)-1,MATCH(BG$87&amp;"_"&amp;BF150,Tab.Uncertainty.Levels!$1:$1,0)-1)</f>
        <v>#N/A</v>
      </c>
      <c r="BH150" s="24" t="e">
        <f ca="1">OFFSET(Tab.Uncertainty.Levels!$A$1,MATCH(BH$88,Tab.Uncertainty.Levels!$A:$A,0)-1,MATCH(BH$87&amp;"_"&amp;BF150,Tab.Uncertainty.Levels!$1:$1,0)-1)</f>
        <v>#N/A</v>
      </c>
      <c r="BI150" s="32" t="str">
        <f t="shared" si="31"/>
        <v>D</v>
      </c>
      <c r="BJ150" s="13">
        <f ca="1">IF(BF150="-",BE150,BH150)</f>
        <v>0.3</v>
      </c>
      <c r="BK150" s="32" t="str">
        <f>IF(OR($L150="NoDataSource",IFERROR(IF($S150="",#N/A,$S150),0)=0),IF(IFERROR(IF(U150="",#N/A,U150),0)=0,"E","D"),IF($L150="DesignDataPlusQA","A",IF($L150="DesignData","B","C")))</f>
        <v>C</v>
      </c>
      <c r="BL150" s="20" t="str">
        <f ca="1">OFFSET(Tab.Uncertainty.Levels!$A$1,MATCH(BL$88,Tab.Uncertainty.Levels!$A:$A,0)-1,MATCH(BL$87&amp;"_"&amp;BK150,Tab.Uncertainty.Levels!$1:$1,0)-1)</f>
        <v>Insulation thickness determined by inspection onsite / record or statement of owner</v>
      </c>
      <c r="BM150" s="24">
        <f ca="1">OFFSET(Tab.Uncertainty.Levels!$A$1,MATCH(BM$88,Tab.Uncertainty.Levels!$A:$A,0)-1,MATCH(BM$87&amp;"_"&amp;BK150,Tab.Uncertainty.Levels!$1:$1,0)-1)</f>
        <v>0.25</v>
      </c>
      <c r="BN150" s="34">
        <f ca="1">OFFSET(Tab.Uncertainty.Levels!$A$1,MATCH(BN$88,Tab.Uncertainty.Levels!$A:$A,0)-1,MATCH(BN$87&amp;"_"&amp;BK150,Tab.Uncertainty.Levels!$1:$1,0)-1)</f>
        <v>2</v>
      </c>
      <c r="BO150" s="13">
        <f ca="1">IFERROR(MIN(BM150,BN150/AN150),0)</f>
        <v>0.125</v>
      </c>
      <c r="BP150" s="32" t="str">
        <f>IF(OR($L150="NoDataSource",IFERROR(IF($V150="",#N/A,$V150),0)=0),IF(IFERROR(IF(U150="",#N/A,U150),0)=0,"E","D"),IF($L150="DesignDataPlusQA","A",IF($L150="DesignData","B","C")))</f>
        <v>D</v>
      </c>
      <c r="BQ150" s="20" t="str">
        <f ca="1">OFFSET(Tab.Uncertainty.Levels!$A$1,MATCH(BQ$88,Tab.Uncertainty.Levels!$A:$A,0)-1,MATCH(BQ$87&amp;"_"&amp;BP150,Tab.Uncertainty.Levels!$1:$1,0)-1)</f>
        <v>Insulation available; no information about material</v>
      </c>
      <c r="BR150" s="97">
        <f ca="1">OFFSET(Tab.Uncertainty.Levels!$A$1,MATCH(BR$88,Tab.Uncertainty.Levels!$A:$A,0)-1,MATCH(BR$87&amp;"_"&amp;BP150,Tab.Uncertainty.Levels!$1:$1,0)-1)</f>
        <v>0.2</v>
      </c>
      <c r="BS150" s="32" t="str">
        <f>IF(L150="NoDataSource","D",IF(IFERROR(IF($T150="",#N/A,$T150),0)=0,IF(OR(IFERROR(IF($S150="",#N/A,$S150),0)&gt;0,$R150="Refurbish"),"D","E"),IF($L150="DesignDataPlusQA","A",IF($L150="DesignData","B","C"))))</f>
        <v>C</v>
      </c>
      <c r="BT150" s="20" t="str">
        <f ca="1">OFFSET(Tab.Uncertainty.Levels!$A$1,MATCH(BT$88,Tab.Uncertainty.Levels!$A:$A,0)-1,MATCH(BT$87&amp;"_"&amp;BS150,Tab.Uncertainty.Levels!$1:$1,0)-1)</f>
        <v>Insulation fraction determined by inspection onsite / record or statement of owner</v>
      </c>
      <c r="BU150" s="33">
        <f ca="1">OFFSET(Tab.Uncertainty.Levels!$A$1,MATCH(BU$88,Tab.Uncertainty.Levels!$A:$A,0)-1,MATCH(BU$87&amp;"_"&amp;BS150,Tab.Uncertainty.Levels!$1:$1,0)-1)</f>
        <v>0.2</v>
      </c>
      <c r="BV150" s="13">
        <f ca="1">IFERROR(MIN(BU150/AW150,1,(1-AW150)/AW150),0)</f>
        <v>0</v>
      </c>
      <c r="BW150" s="96">
        <f ca="1">ABS(1+(AW150*(1/(1+AN150/100/AP150*AG150)^2-1)))*BJ150*$AG150</f>
        <v>8.5582875662248616E-3</v>
      </c>
      <c r="BX150" s="96">
        <f ca="1">ABS(-AG150+1/(1/AG150+AN150/100/AP150))*BV150*AW150</f>
        <v>0</v>
      </c>
      <c r="BY150" s="96">
        <f ca="1">ABS(-AW150*AP150/((AP150/AG150+AN150/100)^2))*(BO150*AN150/100)</f>
        <v>1.9561800151371073E-2</v>
      </c>
      <c r="BZ150" s="202">
        <f ca="1">ABS(AW150*AN150/100/(1/AG150*AP150+AN150/100)^2)*(BR150*AP150)</f>
        <v>3.1298880242193718E-2</v>
      </c>
      <c r="CA150" s="103">
        <f t="shared" ca="1" si="32"/>
        <v>3.7888365175124207E-2</v>
      </c>
      <c r="CB150" s="37">
        <f t="shared" ca="1" si="67"/>
        <v>4.6255506607929604E-2</v>
      </c>
      <c r="CC150" s="37">
        <f t="shared" ca="1" si="68"/>
        <v>0</v>
      </c>
      <c r="CD150" s="37">
        <f t="shared" ca="1" si="69"/>
        <v>0.10572687224669602</v>
      </c>
      <c r="CE150" s="37">
        <f t="shared" ca="1" si="70"/>
        <v>0.16916299559471365</v>
      </c>
      <c r="CF150" s="13">
        <f t="shared" ca="1" si="71"/>
        <v>0.2047775927322189</v>
      </c>
      <c r="CG150" s="101">
        <f ca="1">AG150</f>
        <v>1.2</v>
      </c>
      <c r="CH150" s="101">
        <f>AW150</f>
        <v>1</v>
      </c>
      <c r="CI150" s="203">
        <f>IF(CH150&gt;0,AN150,0)</f>
        <v>16</v>
      </c>
      <c r="CJ150" s="102">
        <f ca="1">IF(AND(CH150&gt;0,CI150&gt;0),AP150,0)</f>
        <v>3.5000000000000003E-2</v>
      </c>
      <c r="CK150" s="102">
        <f ca="1">BB150</f>
        <v>0.18502202643171808</v>
      </c>
      <c r="CL150" s="37">
        <f t="shared" ca="1" si="49"/>
        <v>0.3</v>
      </c>
      <c r="CM150" s="37">
        <f t="shared" ca="1" si="50"/>
        <v>0</v>
      </c>
      <c r="CN150" s="37">
        <f t="shared" ca="1" si="51"/>
        <v>0.125</v>
      </c>
      <c r="CO150" s="37">
        <f t="shared" ca="1" si="52"/>
        <v>0.2</v>
      </c>
      <c r="CP150" s="37">
        <f t="shared" ca="1" si="53"/>
        <v>0.2047775927322189</v>
      </c>
      <c r="CQ150" s="95">
        <f t="shared" ca="1" si="54"/>
        <v>0.36</v>
      </c>
      <c r="CR150" s="95">
        <f t="shared" ca="1" si="55"/>
        <v>0</v>
      </c>
      <c r="CS150" s="95">
        <f t="shared" ca="1" si="56"/>
        <v>2</v>
      </c>
      <c r="CT150" s="103">
        <f t="shared" ca="1" si="57"/>
        <v>7.000000000000001E-3</v>
      </c>
      <c r="CU150" s="95">
        <f t="shared" ca="1" si="58"/>
        <v>3.7888365175124207E-2</v>
      </c>
      <c r="CV150" s="37">
        <f ca="1">$CB150^2/$CF150^2</f>
        <v>5.1022533216710589E-2</v>
      </c>
      <c r="CW150" s="37">
        <f ca="1">$CD150^2/$CF150^2</f>
        <v>0.26656670415260936</v>
      </c>
      <c r="CX150" s="37">
        <f ca="1">$CE150^2/$CF150^2</f>
        <v>0.68241076263068001</v>
      </c>
      <c r="CY150" s="37">
        <f ca="1">$CC150^2/$CF150^2</f>
        <v>0</v>
      </c>
      <c r="DA150" s="98" t="s">
        <v>214</v>
      </c>
      <c r="DB150" s="36">
        <f ca="1">OFFSET($A$1,ROW(DB150)-1,MATCH(DA150,$1:$1,0)-1)</f>
        <v>16</v>
      </c>
      <c r="DC150" s="9">
        <f ca="1">BB150</f>
        <v>0.18502202643171808</v>
      </c>
      <c r="DD150" s="9">
        <f ca="1">$DC150+$CA150</f>
        <v>0.22291039160684228</v>
      </c>
      <c r="DE150" s="9">
        <f ca="1">$DC150-$CA150</f>
        <v>0.14713366125659388</v>
      </c>
      <c r="DF150" s="10">
        <f t="shared" ca="1" si="87"/>
        <v>0.20477759273221888</v>
      </c>
    </row>
    <row r="151" spans="1:110" s="8" customFormat="1" ht="32.4" customHeight="1">
      <c r="A151" s="206" t="s">
        <v>587</v>
      </c>
      <c r="B151" s="208" t="s">
        <v>2344</v>
      </c>
      <c r="C151" s="206" t="str">
        <f t="shared" si="88"/>
        <v>Parameter-Variation: d_Insulation = 20 cm</v>
      </c>
      <c r="D151" s="206"/>
      <c r="E151" s="206" t="s">
        <v>198</v>
      </c>
      <c r="F151" s="206" t="str">
        <f t="shared" si="94"/>
        <v>20 cm</v>
      </c>
      <c r="G151" s="206" t="s">
        <v>2170</v>
      </c>
      <c r="H151" s="206" t="s">
        <v>2171</v>
      </c>
      <c r="I151" s="156" t="s">
        <v>80</v>
      </c>
      <c r="J151" s="156" t="s">
        <v>134</v>
      </c>
      <c r="K151" s="156" t="s">
        <v>155</v>
      </c>
      <c r="L151" s="156" t="s">
        <v>66</v>
      </c>
      <c r="M151" s="156" t="s">
        <v>188</v>
      </c>
      <c r="N151" s="7">
        <v>1960</v>
      </c>
      <c r="O151" s="156">
        <v>1</v>
      </c>
      <c r="P151" s="156">
        <v>0</v>
      </c>
      <c r="Q151" s="156" t="s">
        <v>435</v>
      </c>
      <c r="R151" s="156" t="s">
        <v>58</v>
      </c>
      <c r="S151" s="19">
        <f t="shared" si="95"/>
        <v>20</v>
      </c>
      <c r="T151" s="19">
        <v>1</v>
      </c>
      <c r="U151" s="19">
        <v>2016</v>
      </c>
      <c r="V151" s="19" t="e">
        <v>#N/A</v>
      </c>
      <c r="W151" s="28" t="s">
        <v>59</v>
      </c>
      <c r="X151" s="19" t="e">
        <v>#N/A</v>
      </c>
      <c r="Y151" s="105">
        <f ca="1">IFERROR(OFFSET(Tab.Const.ConstrBorder!$A$1,MATCH(Q151,Tab.Const.ConstrBorder!$A:$A,0)-1,MATCH(Y$87,Tab.Const.ConstrBorder!$1:$1,0)-1),0)</f>
        <v>0</v>
      </c>
      <c r="Z151" s="18">
        <f t="shared" si="27"/>
        <v>1960</v>
      </c>
      <c r="AA151" s="17">
        <f>MATCH(Z151,Tab.Year.Period!$11:$11,1)-3</f>
        <v>5</v>
      </c>
      <c r="AB151" s="17">
        <f>MATCH(AB$88&amp;"."&amp;TEXT(AA151,"00"),Tab.U.Default!$A:$A,0)</f>
        <v>28</v>
      </c>
      <c r="AC151" s="105">
        <f ca="1">OFFSET(Tab.U.Default!$A$1,$AB151-1,MATCH("U_Class_"&amp;IF($J151="TopCeiling","UpperCeiling",$J151)&amp;"_"&amp;AC$87,Tab.U.Default!$1:$1,0)-1)</f>
        <v>1.2</v>
      </c>
      <c r="AD151" s="105">
        <f ca="1">OFFSET(Tab.U.Default!$A$1,$AB151-1,MATCH("U_Class_"&amp;IF($J151="TopCeiling","UpperCeiling",$J151)&amp;"_"&amp;AD$87,Tab.U.Default!$1:$1,0)-1)</f>
        <v>1.2</v>
      </c>
      <c r="AE151" s="105">
        <f ca="1">OFFSET(Tab.U.Default!$A$1,$AB151-1,MATCH("U_Class_"&amp;IF($J151="TopCeiling","UpperCeiling",$J151)&amp;"_"&amp;AE$87,Tab.U.Default!$1:$1,0)-1)</f>
        <v>0.8</v>
      </c>
      <c r="AF151" s="26">
        <f t="shared" ca="1" si="0"/>
        <v>1.2</v>
      </c>
      <c r="AG151" s="26">
        <f t="shared" ca="1" si="48"/>
        <v>1.2</v>
      </c>
      <c r="AH151" s="18" t="str">
        <f t="shared" si="59"/>
        <v>Refurbish</v>
      </c>
      <c r="AI151" s="18" t="str">
        <f t="shared" si="28"/>
        <v>Add</v>
      </c>
      <c r="AJ151" s="18">
        <f t="shared" si="3"/>
        <v>2016</v>
      </c>
      <c r="AK151" s="17">
        <f>MATCH(AJ151,Tab.Year.Period!$11:$11,1)-3</f>
        <v>12</v>
      </c>
      <c r="AL151" s="17">
        <f>MATCH(AL$88&amp;"."&amp;TEXT(AK151,"00"),Tab.Insulation.Default!$A:$A,0)</f>
        <v>23</v>
      </c>
      <c r="AM151" s="20" t="e">
        <f ca="1">IF(ISNA(IF(S151="",#N/A,S151)),OFFSET(Tab.Insulation.Default!$A$1,$AL151-1,MATCH(AM$87&amp;"_"&amp;$K151,Tab.Insulation.Default!$1:$1,0)-1),#N/A)</f>
        <v>#N/A</v>
      </c>
      <c r="AN151" s="27">
        <f t="shared" si="29"/>
        <v>20</v>
      </c>
      <c r="AO151" s="22">
        <f ca="1">IF(ISNA(IF(V151="",#N/A,V151)),OFFSET(Tab.Insulation.Default!$A$1,$AL151-1,MATCH(AO$87&amp;"_"&amp;$K151,Tab.Insulation.Default!$1:$1,0)-1),#N/A)</f>
        <v>3.5000000000000003E-2</v>
      </c>
      <c r="AP151" s="23">
        <f t="shared" ca="1" si="30"/>
        <v>3.5000000000000003E-2</v>
      </c>
      <c r="AQ151" s="29" t="str">
        <f t="shared" si="60"/>
        <v>Gen.Refurbished.12</v>
      </c>
      <c r="AR151" s="17">
        <f>MATCH(AR$88&amp;"."&amp;AQ151,Tab.Measure.f.Default!$A:$A,0)</f>
        <v>23</v>
      </c>
      <c r="AS151" s="21">
        <f ca="1">OFFSET(Tab.Measure.f.Default!$A$1,AR151-1,MATCH(AS$87&amp;"_"&amp;$J151,Tab.Measure.f.Default!$1:$1,0)-1)</f>
        <v>0.75</v>
      </c>
      <c r="AT151" s="29" t="str">
        <f t="shared" si="61"/>
        <v>MUH.NA.05</v>
      </c>
      <c r="AU151" s="17">
        <f>MATCH(AU$88&amp;"."&amp;AT151,Tab.Measure.f.Default!$A:$A,0)</f>
        <v>40</v>
      </c>
      <c r="AV151" s="21">
        <f ca="1">OFFSET(Tab.Measure.f.Default!$A$1,AU151-1,MATCH(AV$87&amp;"_"&amp;$J151,Tab.Measure.f.Default!$1:$1,0)-1)</f>
        <v>0.37</v>
      </c>
      <c r="AW151" s="30">
        <f t="shared" si="33"/>
        <v>1</v>
      </c>
      <c r="AX151" s="9">
        <f t="shared" ca="1" si="62"/>
        <v>0.83333333333333337</v>
      </c>
      <c r="AY151" s="9">
        <f t="shared" ca="1" si="63"/>
        <v>5.7142857142857144</v>
      </c>
      <c r="AZ151" s="9">
        <f t="shared" ca="1" si="89"/>
        <v>6.5476190476190474</v>
      </c>
      <c r="BA151" s="9">
        <f t="shared" ca="1" si="90"/>
        <v>0.15272727272727274</v>
      </c>
      <c r="BB151" s="9">
        <f t="shared" ca="1" si="64"/>
        <v>0.15272727272727274</v>
      </c>
      <c r="BC151" s="32" t="str">
        <f t="shared" si="65"/>
        <v>D</v>
      </c>
      <c r="BD151" s="20" t="str">
        <f ca="1">OFFSET(Tab.Uncertainty.Levels!$A$1,MATCH(BD$88,Tab.Uncertainty.Levels!$A:$A,0)-1,MATCH(BD$87&amp;"_"&amp;BC151,Tab.Uncertainty.Levels!$1:$1,0)-1)</f>
        <v>Use of default values; building constructed until 1983</v>
      </c>
      <c r="BE151" s="24">
        <f ca="1">OFFSET(Tab.Uncertainty.Levels!$A$1,MATCH(BE$88,Tab.Uncertainty.Levels!$A:$A,0)-1,MATCH(BE$87&amp;"_"&amp;BC151,Tab.Uncertainty.Levels!$1:$1,0)-1)</f>
        <v>0.3</v>
      </c>
      <c r="BF151" s="32" t="str">
        <f t="shared" si="66"/>
        <v>-</v>
      </c>
      <c r="BG151" s="20" t="e">
        <f ca="1">OFFSET(Tab.Uncertainty.Levels!$A$1,MATCH(BG$88,Tab.Uncertainty.Levels!$A:$A,0)-1,MATCH(BG$87&amp;"_"&amp;BF151,Tab.Uncertainty.Levels!$1:$1,0)-1)</f>
        <v>#N/A</v>
      </c>
      <c r="BH151" s="24" t="e">
        <f ca="1">OFFSET(Tab.Uncertainty.Levels!$A$1,MATCH(BH$88,Tab.Uncertainty.Levels!$A:$A,0)-1,MATCH(BH$87&amp;"_"&amp;BF151,Tab.Uncertainty.Levels!$1:$1,0)-1)</f>
        <v>#N/A</v>
      </c>
      <c r="BI151" s="32" t="str">
        <f t="shared" si="31"/>
        <v>D</v>
      </c>
      <c r="BJ151" s="13">
        <f ca="1">IF(BF151="-",BE151,BH151)</f>
        <v>0.3</v>
      </c>
      <c r="BK151" s="32" t="str">
        <f>IF(OR($L151="NoDataSource",IFERROR(IF($S151="",#N/A,$S151),0)=0),IF(IFERROR(IF(U151="",#N/A,U151),0)=0,"E","D"),IF($L151="DesignDataPlusQA","A",IF($L151="DesignData","B","C")))</f>
        <v>C</v>
      </c>
      <c r="BL151" s="20" t="str">
        <f ca="1">OFFSET(Tab.Uncertainty.Levels!$A$1,MATCH(BL$88,Tab.Uncertainty.Levels!$A:$A,0)-1,MATCH(BL$87&amp;"_"&amp;BK151,Tab.Uncertainty.Levels!$1:$1,0)-1)</f>
        <v>Insulation thickness determined by inspection onsite / record or statement of owner</v>
      </c>
      <c r="BM151" s="24">
        <f ca="1">OFFSET(Tab.Uncertainty.Levels!$A$1,MATCH(BM$88,Tab.Uncertainty.Levels!$A:$A,0)-1,MATCH(BM$87&amp;"_"&amp;BK151,Tab.Uncertainty.Levels!$1:$1,0)-1)</f>
        <v>0.25</v>
      </c>
      <c r="BN151" s="34">
        <f ca="1">OFFSET(Tab.Uncertainty.Levels!$A$1,MATCH(BN$88,Tab.Uncertainty.Levels!$A:$A,0)-1,MATCH(BN$87&amp;"_"&amp;BK151,Tab.Uncertainty.Levels!$1:$1,0)-1)</f>
        <v>2</v>
      </c>
      <c r="BO151" s="13">
        <f ca="1">IFERROR(MIN(BM151,BN151/AN151),0)</f>
        <v>0.1</v>
      </c>
      <c r="BP151" s="32" t="str">
        <f>IF(OR($L151="NoDataSource",IFERROR(IF($V151="",#N/A,$V151),0)=0),IF(IFERROR(IF(U151="",#N/A,U151),0)=0,"E","D"),IF($L151="DesignDataPlusQA","A",IF($L151="DesignData","B","C")))</f>
        <v>D</v>
      </c>
      <c r="BQ151" s="20" t="str">
        <f ca="1">OFFSET(Tab.Uncertainty.Levels!$A$1,MATCH(BQ$88,Tab.Uncertainty.Levels!$A:$A,0)-1,MATCH(BQ$87&amp;"_"&amp;BP151,Tab.Uncertainty.Levels!$1:$1,0)-1)</f>
        <v>Insulation available; no information about material</v>
      </c>
      <c r="BR151" s="97">
        <f ca="1">OFFSET(Tab.Uncertainty.Levels!$A$1,MATCH(BR$88,Tab.Uncertainty.Levels!$A:$A,0)-1,MATCH(BR$87&amp;"_"&amp;BP151,Tab.Uncertainty.Levels!$1:$1,0)-1)</f>
        <v>0.2</v>
      </c>
      <c r="BS151" s="32" t="str">
        <f>IF(L151="NoDataSource","D",IF(IFERROR(IF($T151="",#N/A,$T151),0)=0,IF(OR(IFERROR(IF($S151="",#N/A,$S151),0)&gt;0,$R151="Refurbish"),"D","E"),IF($L151="DesignDataPlusQA","A",IF($L151="DesignData","B","C"))))</f>
        <v>C</v>
      </c>
      <c r="BT151" s="20" t="str">
        <f ca="1">OFFSET(Tab.Uncertainty.Levels!$A$1,MATCH(BT$88,Tab.Uncertainty.Levels!$A:$A,0)-1,MATCH(BT$87&amp;"_"&amp;BS151,Tab.Uncertainty.Levels!$1:$1,0)-1)</f>
        <v>Insulation fraction determined by inspection onsite / record or statement of owner</v>
      </c>
      <c r="BU151" s="33">
        <f ca="1">OFFSET(Tab.Uncertainty.Levels!$A$1,MATCH(BU$88,Tab.Uncertainty.Levels!$A:$A,0)-1,MATCH(BU$87&amp;"_"&amp;BS151,Tab.Uncertainty.Levels!$1:$1,0)-1)</f>
        <v>0.2</v>
      </c>
      <c r="BV151" s="13">
        <f ca="1">IFERROR(MIN(BU151/AW151,1,(1-AW151)/AW151),0)</f>
        <v>0</v>
      </c>
      <c r="BW151" s="96">
        <f ca="1">ABS(1+(AW151*(1/(1+AN151/100/AP151*AG151)^2-1)))*BJ151*$AG151</f>
        <v>5.8314049586777016E-3</v>
      </c>
      <c r="BX151" s="96">
        <f ca="1">ABS(-AG151+1/(1/AG151+AN151/100/AP151))*BV151*AW151</f>
        <v>0</v>
      </c>
      <c r="BY151" s="96">
        <f ca="1">ABS(-AW151*AP151/((AP151/AG151+AN151/100)^2))*(BO151*AN151/100)</f>
        <v>1.3328925619834711E-2</v>
      </c>
      <c r="BZ151" s="202">
        <f ca="1">ABS(AW151*AN151/100/(1/AG151*AP151+AN151/100)^2)*(BR151*AP151)</f>
        <v>2.6657851239669423E-2</v>
      </c>
      <c r="CA151" s="103">
        <f t="shared" ca="1" si="32"/>
        <v>3.0369500731614301E-2</v>
      </c>
      <c r="CB151" s="37">
        <f t="shared" ca="1" si="67"/>
        <v>3.8181818181818282E-2</v>
      </c>
      <c r="CC151" s="37">
        <f t="shared" ca="1" si="68"/>
        <v>0</v>
      </c>
      <c r="CD151" s="37">
        <f t="shared" ca="1" si="69"/>
        <v>8.7272727272727266E-2</v>
      </c>
      <c r="CE151" s="37">
        <f t="shared" ca="1" si="70"/>
        <v>0.17454545454545453</v>
      </c>
      <c r="CF151" s="13">
        <f t="shared" ca="1" si="71"/>
        <v>0.19884792145699837</v>
      </c>
      <c r="CG151" s="101">
        <f ca="1">AG151</f>
        <v>1.2</v>
      </c>
      <c r="CH151" s="101">
        <f>AW151</f>
        <v>1</v>
      </c>
      <c r="CI151" s="203">
        <f>IF(CH151&gt;0,AN151,0)</f>
        <v>20</v>
      </c>
      <c r="CJ151" s="102">
        <f ca="1">IF(AND(CH151&gt;0,CI151&gt;0),AP151,0)</f>
        <v>3.5000000000000003E-2</v>
      </c>
      <c r="CK151" s="102">
        <f ca="1">BB151</f>
        <v>0.15272727272727274</v>
      </c>
      <c r="CL151" s="37">
        <f t="shared" ca="1" si="49"/>
        <v>0.3</v>
      </c>
      <c r="CM151" s="37">
        <f t="shared" ca="1" si="50"/>
        <v>0</v>
      </c>
      <c r="CN151" s="37">
        <f t="shared" ca="1" si="51"/>
        <v>0.1</v>
      </c>
      <c r="CO151" s="37">
        <f t="shared" ca="1" si="52"/>
        <v>0.2</v>
      </c>
      <c r="CP151" s="37">
        <f t="shared" ca="1" si="53"/>
        <v>0.19884792145699837</v>
      </c>
      <c r="CQ151" s="95">
        <f t="shared" ca="1" si="54"/>
        <v>0.36</v>
      </c>
      <c r="CR151" s="95">
        <f t="shared" ca="1" si="55"/>
        <v>0</v>
      </c>
      <c r="CS151" s="95">
        <f t="shared" ca="1" si="56"/>
        <v>2</v>
      </c>
      <c r="CT151" s="103">
        <f t="shared" ca="1" si="57"/>
        <v>7.000000000000001E-3</v>
      </c>
      <c r="CU151" s="95">
        <f t="shared" ca="1" si="58"/>
        <v>3.0369500731614298E-2</v>
      </c>
      <c r="CV151" s="37">
        <f ca="1">$CB151^2/$CF151^2</f>
        <v>3.6869826937547229E-2</v>
      </c>
      <c r="CW151" s="37">
        <f ca="1">$CD151^2/$CF151^2</f>
        <v>0.19262603461249059</v>
      </c>
      <c r="CX151" s="37">
        <f ca="1">$CE151^2/$CF151^2</f>
        <v>0.77050413844996235</v>
      </c>
      <c r="CY151" s="37">
        <f ca="1">$CC151^2/$CF151^2</f>
        <v>0</v>
      </c>
      <c r="DA151" s="98" t="s">
        <v>214</v>
      </c>
      <c r="DB151" s="36">
        <f ca="1">OFFSET($A$1,ROW(DB151)-1,MATCH(DA151,$1:$1,0)-1)</f>
        <v>20</v>
      </c>
      <c r="DC151" s="9">
        <f ca="1">BB151</f>
        <v>0.15272727272727274</v>
      </c>
      <c r="DD151" s="9">
        <f ca="1">$DC151+$CA151</f>
        <v>0.18309677345888703</v>
      </c>
      <c r="DE151" s="9">
        <f ca="1">$DC151-$CA151</f>
        <v>0.12235777199565843</v>
      </c>
      <c r="DF151" s="10">
        <f t="shared" ca="1" si="87"/>
        <v>0.19884792145699837</v>
      </c>
    </row>
    <row r="152" spans="1:110" s="8" customFormat="1" ht="32.4" customHeight="1">
      <c r="A152" s="206" t="s">
        <v>588</v>
      </c>
      <c r="B152" s="208" t="s">
        <v>2344</v>
      </c>
      <c r="C152" s="206" t="str">
        <f t="shared" si="88"/>
        <v>Parameter-Variation: d_Insulation = 24 cm</v>
      </c>
      <c r="D152" s="206"/>
      <c r="E152" s="206" t="s">
        <v>198</v>
      </c>
      <c r="F152" s="206" t="str">
        <f t="shared" si="94"/>
        <v>24 cm</v>
      </c>
      <c r="G152" s="206" t="s">
        <v>2170</v>
      </c>
      <c r="H152" s="206" t="s">
        <v>2171</v>
      </c>
      <c r="I152" s="156" t="s">
        <v>80</v>
      </c>
      <c r="J152" s="156" t="s">
        <v>134</v>
      </c>
      <c r="K152" s="156" t="s">
        <v>155</v>
      </c>
      <c r="L152" s="156" t="s">
        <v>66</v>
      </c>
      <c r="M152" s="156" t="s">
        <v>188</v>
      </c>
      <c r="N152" s="7">
        <v>1960</v>
      </c>
      <c r="O152" s="156">
        <v>1</v>
      </c>
      <c r="P152" s="156">
        <v>0</v>
      </c>
      <c r="Q152" s="156" t="s">
        <v>435</v>
      </c>
      <c r="R152" s="156" t="s">
        <v>58</v>
      </c>
      <c r="S152" s="19">
        <f t="shared" si="95"/>
        <v>24</v>
      </c>
      <c r="T152" s="19">
        <v>1</v>
      </c>
      <c r="U152" s="19">
        <v>2016</v>
      </c>
      <c r="V152" s="19" t="e">
        <v>#N/A</v>
      </c>
      <c r="W152" s="28" t="s">
        <v>59</v>
      </c>
      <c r="X152" s="19" t="e">
        <v>#N/A</v>
      </c>
      <c r="Y152" s="105">
        <f ca="1">IFERROR(OFFSET(Tab.Const.ConstrBorder!$A$1,MATCH(Q152,Tab.Const.ConstrBorder!$A:$A,0)-1,MATCH(Y$87,Tab.Const.ConstrBorder!$1:$1,0)-1),0)</f>
        <v>0</v>
      </c>
      <c r="Z152" s="18">
        <f t="shared" si="27"/>
        <v>1960</v>
      </c>
      <c r="AA152" s="17">
        <f>MATCH(Z152,Tab.Year.Period!$11:$11,1)-3</f>
        <v>5</v>
      </c>
      <c r="AB152" s="17">
        <f>MATCH(AB$88&amp;"."&amp;TEXT(AA152,"00"),Tab.U.Default!$A:$A,0)</f>
        <v>28</v>
      </c>
      <c r="AC152" s="105">
        <f ca="1">OFFSET(Tab.U.Default!$A$1,$AB152-1,MATCH("U_Class_"&amp;IF($J152="TopCeiling","UpperCeiling",$J152)&amp;"_"&amp;AC$87,Tab.U.Default!$1:$1,0)-1)</f>
        <v>1.2</v>
      </c>
      <c r="AD152" s="105">
        <f ca="1">OFFSET(Tab.U.Default!$A$1,$AB152-1,MATCH("U_Class_"&amp;IF($J152="TopCeiling","UpperCeiling",$J152)&amp;"_"&amp;AD$87,Tab.U.Default!$1:$1,0)-1)</f>
        <v>1.2</v>
      </c>
      <c r="AE152" s="105">
        <f ca="1">OFFSET(Tab.U.Default!$A$1,$AB152-1,MATCH("U_Class_"&amp;IF($J152="TopCeiling","UpperCeiling",$J152)&amp;"_"&amp;AE$87,Tab.U.Default!$1:$1,0)-1)</f>
        <v>0.8</v>
      </c>
      <c r="AF152" s="26">
        <f t="shared" ca="1" si="0"/>
        <v>1.2</v>
      </c>
      <c r="AG152" s="26">
        <f t="shared" ca="1" si="48"/>
        <v>1.2</v>
      </c>
      <c r="AH152" s="18" t="str">
        <f t="shared" si="59"/>
        <v>Refurbish</v>
      </c>
      <c r="AI152" s="18" t="str">
        <f t="shared" si="28"/>
        <v>Add</v>
      </c>
      <c r="AJ152" s="18">
        <f t="shared" si="3"/>
        <v>2016</v>
      </c>
      <c r="AK152" s="17">
        <f>MATCH(AJ152,Tab.Year.Period!$11:$11,1)-3</f>
        <v>12</v>
      </c>
      <c r="AL152" s="17">
        <f>MATCH(AL$88&amp;"."&amp;TEXT(AK152,"00"),Tab.Insulation.Default!$A:$A,0)</f>
        <v>23</v>
      </c>
      <c r="AM152" s="20" t="e">
        <f ca="1">IF(ISNA(IF(S152="",#N/A,S152)),OFFSET(Tab.Insulation.Default!$A$1,$AL152-1,MATCH(AM$87&amp;"_"&amp;$K152,Tab.Insulation.Default!$1:$1,0)-1),#N/A)</f>
        <v>#N/A</v>
      </c>
      <c r="AN152" s="27">
        <f t="shared" si="29"/>
        <v>24</v>
      </c>
      <c r="AO152" s="22">
        <f ca="1">IF(ISNA(IF(V152="",#N/A,V152)),OFFSET(Tab.Insulation.Default!$A$1,$AL152-1,MATCH(AO$87&amp;"_"&amp;$K152,Tab.Insulation.Default!$1:$1,0)-1),#N/A)</f>
        <v>3.5000000000000003E-2</v>
      </c>
      <c r="AP152" s="23">
        <f t="shared" ca="1" si="30"/>
        <v>3.5000000000000003E-2</v>
      </c>
      <c r="AQ152" s="29" t="str">
        <f t="shared" si="60"/>
        <v>Gen.Refurbished.12</v>
      </c>
      <c r="AR152" s="17">
        <f>MATCH(AR$88&amp;"."&amp;AQ152,Tab.Measure.f.Default!$A:$A,0)</f>
        <v>23</v>
      </c>
      <c r="AS152" s="21">
        <f ca="1">OFFSET(Tab.Measure.f.Default!$A$1,AR152-1,MATCH(AS$87&amp;"_"&amp;$J152,Tab.Measure.f.Default!$1:$1,0)-1)</f>
        <v>0.75</v>
      </c>
      <c r="AT152" s="29" t="str">
        <f t="shared" si="61"/>
        <v>MUH.NA.05</v>
      </c>
      <c r="AU152" s="17">
        <f>MATCH(AU$88&amp;"."&amp;AT152,Tab.Measure.f.Default!$A:$A,0)</f>
        <v>40</v>
      </c>
      <c r="AV152" s="21">
        <f ca="1">OFFSET(Tab.Measure.f.Default!$A$1,AU152-1,MATCH(AV$87&amp;"_"&amp;$J152,Tab.Measure.f.Default!$1:$1,0)-1)</f>
        <v>0.37</v>
      </c>
      <c r="AW152" s="30">
        <f t="shared" si="33"/>
        <v>1</v>
      </c>
      <c r="AX152" s="9">
        <f t="shared" ca="1" si="62"/>
        <v>0.83333333333333337</v>
      </c>
      <c r="AY152" s="9">
        <f t="shared" ca="1" si="63"/>
        <v>6.8571428571428559</v>
      </c>
      <c r="AZ152" s="9">
        <f t="shared" ca="1" si="89"/>
        <v>7.6904761904761889</v>
      </c>
      <c r="BA152" s="9">
        <f t="shared" ca="1" si="90"/>
        <v>0.13003095975232201</v>
      </c>
      <c r="BB152" s="9">
        <f t="shared" ca="1" si="64"/>
        <v>0.13003095975232201</v>
      </c>
      <c r="BC152" s="32" t="str">
        <f t="shared" si="65"/>
        <v>D</v>
      </c>
      <c r="BD152" s="20" t="str">
        <f ca="1">OFFSET(Tab.Uncertainty.Levels!$A$1,MATCH(BD$88,Tab.Uncertainty.Levels!$A:$A,0)-1,MATCH(BD$87&amp;"_"&amp;BC152,Tab.Uncertainty.Levels!$1:$1,0)-1)</f>
        <v>Use of default values; building constructed until 1983</v>
      </c>
      <c r="BE152" s="24">
        <f ca="1">OFFSET(Tab.Uncertainty.Levels!$A$1,MATCH(BE$88,Tab.Uncertainty.Levels!$A:$A,0)-1,MATCH(BE$87&amp;"_"&amp;BC152,Tab.Uncertainty.Levels!$1:$1,0)-1)</f>
        <v>0.3</v>
      </c>
      <c r="BF152" s="32" t="str">
        <f t="shared" si="66"/>
        <v>-</v>
      </c>
      <c r="BG152" s="20" t="e">
        <f ca="1">OFFSET(Tab.Uncertainty.Levels!$A$1,MATCH(BG$88,Tab.Uncertainty.Levels!$A:$A,0)-1,MATCH(BG$87&amp;"_"&amp;BF152,Tab.Uncertainty.Levels!$1:$1,0)-1)</f>
        <v>#N/A</v>
      </c>
      <c r="BH152" s="24" t="e">
        <f ca="1">OFFSET(Tab.Uncertainty.Levels!$A$1,MATCH(BH$88,Tab.Uncertainty.Levels!$A:$A,0)-1,MATCH(BH$87&amp;"_"&amp;BF152,Tab.Uncertainty.Levels!$1:$1,0)-1)</f>
        <v>#N/A</v>
      </c>
      <c r="BI152" s="32" t="str">
        <f t="shared" si="31"/>
        <v>D</v>
      </c>
      <c r="BJ152" s="13">
        <f ca="1">IF(BF152="-",BE152,BH152)</f>
        <v>0.3</v>
      </c>
      <c r="BK152" s="32" t="str">
        <f>IF(OR($L152="NoDataSource",IFERROR(IF($S152="",#N/A,$S152),0)=0),IF(IFERROR(IF(U152="",#N/A,U152),0)=0,"E","D"),IF($L152="DesignDataPlusQA","A",IF($L152="DesignData","B","C")))</f>
        <v>C</v>
      </c>
      <c r="BL152" s="20" t="str">
        <f ca="1">OFFSET(Tab.Uncertainty.Levels!$A$1,MATCH(BL$88,Tab.Uncertainty.Levels!$A:$A,0)-1,MATCH(BL$87&amp;"_"&amp;BK152,Tab.Uncertainty.Levels!$1:$1,0)-1)</f>
        <v>Insulation thickness determined by inspection onsite / record or statement of owner</v>
      </c>
      <c r="BM152" s="24">
        <f ca="1">OFFSET(Tab.Uncertainty.Levels!$A$1,MATCH(BM$88,Tab.Uncertainty.Levels!$A:$A,0)-1,MATCH(BM$87&amp;"_"&amp;BK152,Tab.Uncertainty.Levels!$1:$1,0)-1)</f>
        <v>0.25</v>
      </c>
      <c r="BN152" s="34">
        <f ca="1">OFFSET(Tab.Uncertainty.Levels!$A$1,MATCH(BN$88,Tab.Uncertainty.Levels!$A:$A,0)-1,MATCH(BN$87&amp;"_"&amp;BK152,Tab.Uncertainty.Levels!$1:$1,0)-1)</f>
        <v>2</v>
      </c>
      <c r="BO152" s="13">
        <f ca="1">IFERROR(MIN(BM152,BN152/AN152),0)</f>
        <v>8.3333333333333329E-2</v>
      </c>
      <c r="BP152" s="32" t="str">
        <f>IF(OR($L152="NoDataSource",IFERROR(IF($V152="",#N/A,$V152),0)=0),IF(IFERROR(IF(U152="",#N/A,U152),0)=0,"E","D"),IF($L152="DesignDataPlusQA","A",IF($L152="DesignData","B","C")))</f>
        <v>D</v>
      </c>
      <c r="BQ152" s="20" t="str">
        <f ca="1">OFFSET(Tab.Uncertainty.Levels!$A$1,MATCH(BQ$88,Tab.Uncertainty.Levels!$A:$A,0)-1,MATCH(BQ$87&amp;"_"&amp;BP152,Tab.Uncertainty.Levels!$1:$1,0)-1)</f>
        <v>Insulation available; no information about material</v>
      </c>
      <c r="BR152" s="97">
        <f ca="1">OFFSET(Tab.Uncertainty.Levels!$A$1,MATCH(BR$88,Tab.Uncertainty.Levels!$A:$A,0)-1,MATCH(BR$87&amp;"_"&amp;BP152,Tab.Uncertainty.Levels!$1:$1,0)-1)</f>
        <v>0.2</v>
      </c>
      <c r="BS152" s="32" t="str">
        <f>IF(L152="NoDataSource","D",IF(IFERROR(IF($T152="",#N/A,$T152),0)=0,IF(OR(IFERROR(IF($S152="",#N/A,$S152),0)&gt;0,$R152="Refurbish"),"D","E"),IF($L152="DesignDataPlusQA","A",IF($L152="DesignData","B","C"))))</f>
        <v>C</v>
      </c>
      <c r="BT152" s="20" t="str">
        <f ca="1">OFFSET(Tab.Uncertainty.Levels!$A$1,MATCH(BT$88,Tab.Uncertainty.Levels!$A:$A,0)-1,MATCH(BT$87&amp;"_"&amp;BS152,Tab.Uncertainty.Levels!$1:$1,0)-1)</f>
        <v>Insulation fraction determined by inspection onsite / record or statement of owner</v>
      </c>
      <c r="BU152" s="33">
        <f ca="1">OFFSET(Tab.Uncertainty.Levels!$A$1,MATCH(BU$88,Tab.Uncertainty.Levels!$A:$A,0)-1,MATCH(BU$87&amp;"_"&amp;BS152,Tab.Uncertainty.Levels!$1:$1,0)-1)</f>
        <v>0.2</v>
      </c>
      <c r="BV152" s="13">
        <f ca="1">IFERROR(MIN(BU152/AW152,1,(1-AW152)/AW152),0)</f>
        <v>0</v>
      </c>
      <c r="BW152" s="96">
        <f ca="1">ABS(1+(AW152*(1/(1+AN152/100/AP152*AG152)^2-1)))*BJ152*$AG152</f>
        <v>4.2270126235274975E-3</v>
      </c>
      <c r="BX152" s="96">
        <f ca="1">ABS(-AG152+1/(1/AG152+AN152/100/AP152))*BV152*AW152</f>
        <v>0</v>
      </c>
      <c r="BY152" s="96">
        <f ca="1">ABS(-AW152*AP152/((AP152/AG152+AN152/100)^2))*(BO152*AN152/100)</f>
        <v>9.6617431394914171E-3</v>
      </c>
      <c r="BZ152" s="202">
        <f ca="1">ABS(AW152*AN152/100/(1/AG152*AP152+AN152/100)^2)*(BR152*AP152)</f>
        <v>2.3188183534779399E-2</v>
      </c>
      <c r="CA152" s="103">
        <f t="shared" ca="1" si="32"/>
        <v>2.5473687833833261E-2</v>
      </c>
      <c r="CB152" s="37">
        <f t="shared" ca="1" si="67"/>
        <v>3.250773993808051E-2</v>
      </c>
      <c r="CC152" s="37">
        <f t="shared" ca="1" si="68"/>
        <v>0</v>
      </c>
      <c r="CD152" s="37">
        <f t="shared" ca="1" si="69"/>
        <v>7.4303405572755402E-2</v>
      </c>
      <c r="CE152" s="37">
        <f t="shared" ca="1" si="70"/>
        <v>0.17832817337461296</v>
      </c>
      <c r="CF152" s="13">
        <f t="shared" ca="1" si="71"/>
        <v>0.19590478976971767</v>
      </c>
      <c r="CG152" s="101">
        <f ca="1">AG152</f>
        <v>1.2</v>
      </c>
      <c r="CH152" s="101">
        <f>AW152</f>
        <v>1</v>
      </c>
      <c r="CI152" s="203">
        <f>IF(CH152&gt;0,AN152,0)</f>
        <v>24</v>
      </c>
      <c r="CJ152" s="102">
        <f ca="1">IF(AND(CH152&gt;0,CI152&gt;0),AP152,0)</f>
        <v>3.5000000000000003E-2</v>
      </c>
      <c r="CK152" s="102">
        <f ca="1">BB152</f>
        <v>0.13003095975232201</v>
      </c>
      <c r="CL152" s="37">
        <f t="shared" ca="1" si="49"/>
        <v>0.3</v>
      </c>
      <c r="CM152" s="37">
        <f t="shared" ca="1" si="50"/>
        <v>0</v>
      </c>
      <c r="CN152" s="37">
        <f t="shared" ca="1" si="51"/>
        <v>8.3333333333333329E-2</v>
      </c>
      <c r="CO152" s="37">
        <f t="shared" ca="1" si="52"/>
        <v>0.2</v>
      </c>
      <c r="CP152" s="37">
        <f t="shared" ca="1" si="53"/>
        <v>0.19590478976971767</v>
      </c>
      <c r="CQ152" s="95">
        <f t="shared" ca="1" si="54"/>
        <v>0.36</v>
      </c>
      <c r="CR152" s="95">
        <f t="shared" ca="1" si="55"/>
        <v>0</v>
      </c>
      <c r="CS152" s="95">
        <f t="shared" ca="1" si="56"/>
        <v>2</v>
      </c>
      <c r="CT152" s="103">
        <f t="shared" ca="1" si="57"/>
        <v>7.000000000000001E-3</v>
      </c>
      <c r="CU152" s="95">
        <f t="shared" ca="1" si="58"/>
        <v>2.5473687833833265E-2</v>
      </c>
      <c r="CV152" s="37">
        <f ca="1">$CB152^2/$CF152^2</f>
        <v>2.7534896266492873E-2</v>
      </c>
      <c r="CW152" s="37">
        <f ca="1">$CD152^2/$CF152^2</f>
        <v>0.14385578457596257</v>
      </c>
      <c r="CX152" s="37">
        <f ca="1">$CE152^2/$CF152^2</f>
        <v>0.82860931915754443</v>
      </c>
      <c r="CY152" s="37">
        <f ca="1">$CC152^2/$CF152^2</f>
        <v>0</v>
      </c>
      <c r="DA152" s="98" t="s">
        <v>214</v>
      </c>
      <c r="DB152" s="36">
        <f ca="1">OFFSET($A$1,ROW(DB152)-1,MATCH(DA152,$1:$1,0)-1)</f>
        <v>24</v>
      </c>
      <c r="DC152" s="9">
        <f ca="1">BB152</f>
        <v>0.13003095975232201</v>
      </c>
      <c r="DD152" s="9">
        <f ca="1">$DC152+$CA152</f>
        <v>0.15550464758615529</v>
      </c>
      <c r="DE152" s="9">
        <f ca="1">$DC152-$CA152</f>
        <v>0.10455727191848875</v>
      </c>
      <c r="DF152" s="10">
        <f t="shared" ca="1" si="87"/>
        <v>0.1959047897697177</v>
      </c>
    </row>
    <row r="153" spans="1:110" s="8" customFormat="1" ht="32.4" customHeight="1">
      <c r="A153" s="206" t="s">
        <v>589</v>
      </c>
      <c r="B153" s="208" t="s">
        <v>2344</v>
      </c>
      <c r="C153" s="206" t="str">
        <f t="shared" si="88"/>
        <v>Parameter-Variation: d_Insulation = 28 cm</v>
      </c>
      <c r="D153" s="206"/>
      <c r="E153" s="206" t="s">
        <v>198</v>
      </c>
      <c r="F153" s="206" t="str">
        <f t="shared" si="94"/>
        <v>28 cm</v>
      </c>
      <c r="G153" s="206" t="s">
        <v>2170</v>
      </c>
      <c r="H153" s="206" t="s">
        <v>2171</v>
      </c>
      <c r="I153" s="156" t="s">
        <v>80</v>
      </c>
      <c r="J153" s="156" t="s">
        <v>134</v>
      </c>
      <c r="K153" s="156" t="s">
        <v>155</v>
      </c>
      <c r="L153" s="156" t="s">
        <v>66</v>
      </c>
      <c r="M153" s="156" t="s">
        <v>188</v>
      </c>
      <c r="N153" s="7">
        <v>1960</v>
      </c>
      <c r="O153" s="156">
        <v>1</v>
      </c>
      <c r="P153" s="156">
        <v>0</v>
      </c>
      <c r="Q153" s="156" t="s">
        <v>435</v>
      </c>
      <c r="R153" s="156" t="s">
        <v>58</v>
      </c>
      <c r="S153" s="19">
        <f t="shared" si="95"/>
        <v>28</v>
      </c>
      <c r="T153" s="19">
        <v>1</v>
      </c>
      <c r="U153" s="19">
        <v>2016</v>
      </c>
      <c r="V153" s="19" t="e">
        <v>#N/A</v>
      </c>
      <c r="W153" s="28" t="s">
        <v>59</v>
      </c>
      <c r="X153" s="19" t="e">
        <v>#N/A</v>
      </c>
      <c r="Y153" s="105">
        <f ca="1">IFERROR(OFFSET(Tab.Const.ConstrBorder!$A$1,MATCH(Q153,Tab.Const.ConstrBorder!$A:$A,0)-1,MATCH(Y$87,Tab.Const.ConstrBorder!$1:$1,0)-1),0)</f>
        <v>0</v>
      </c>
      <c r="Z153" s="18">
        <f t="shared" si="27"/>
        <v>1960</v>
      </c>
      <c r="AA153" s="17">
        <f>MATCH(Z153,Tab.Year.Period!$11:$11,1)-3</f>
        <v>5</v>
      </c>
      <c r="AB153" s="17">
        <f>MATCH(AB$88&amp;"."&amp;TEXT(AA153,"00"),Tab.U.Default!$A:$A,0)</f>
        <v>28</v>
      </c>
      <c r="AC153" s="105">
        <f ca="1">OFFSET(Tab.U.Default!$A$1,$AB153-1,MATCH("U_Class_"&amp;IF($J153="TopCeiling","UpperCeiling",$J153)&amp;"_"&amp;AC$87,Tab.U.Default!$1:$1,0)-1)</f>
        <v>1.2</v>
      </c>
      <c r="AD153" s="105">
        <f ca="1">OFFSET(Tab.U.Default!$A$1,$AB153-1,MATCH("U_Class_"&amp;IF($J153="TopCeiling","UpperCeiling",$J153)&amp;"_"&amp;AD$87,Tab.U.Default!$1:$1,0)-1)</f>
        <v>1.2</v>
      </c>
      <c r="AE153" s="105">
        <f ca="1">OFFSET(Tab.U.Default!$A$1,$AB153-1,MATCH("U_Class_"&amp;IF($J153="TopCeiling","UpperCeiling",$J153)&amp;"_"&amp;AE$87,Tab.U.Default!$1:$1,0)-1)</f>
        <v>0.8</v>
      </c>
      <c r="AF153" s="26">
        <f t="shared" ca="1" si="0"/>
        <v>1.2</v>
      </c>
      <c r="AG153" s="26">
        <f t="shared" ca="1" si="48"/>
        <v>1.2</v>
      </c>
      <c r="AH153" s="18" t="str">
        <f t="shared" si="59"/>
        <v>Refurbish</v>
      </c>
      <c r="AI153" s="18" t="str">
        <f t="shared" si="28"/>
        <v>Add</v>
      </c>
      <c r="AJ153" s="18">
        <f t="shared" si="3"/>
        <v>2016</v>
      </c>
      <c r="AK153" s="17">
        <f>MATCH(AJ153,Tab.Year.Period!$11:$11,1)-3</f>
        <v>12</v>
      </c>
      <c r="AL153" s="17">
        <f>MATCH(AL$88&amp;"."&amp;TEXT(AK153,"00"),Tab.Insulation.Default!$A:$A,0)</f>
        <v>23</v>
      </c>
      <c r="AM153" s="20" t="e">
        <f ca="1">IF(ISNA(IF(S153="",#N/A,S153)),OFFSET(Tab.Insulation.Default!$A$1,$AL153-1,MATCH(AM$87&amp;"_"&amp;$K153,Tab.Insulation.Default!$1:$1,0)-1),#N/A)</f>
        <v>#N/A</v>
      </c>
      <c r="AN153" s="27">
        <f t="shared" si="29"/>
        <v>28</v>
      </c>
      <c r="AO153" s="22">
        <f ca="1">IF(ISNA(IF(V153="",#N/A,V153)),OFFSET(Tab.Insulation.Default!$A$1,$AL153-1,MATCH(AO$87&amp;"_"&amp;$K153,Tab.Insulation.Default!$1:$1,0)-1),#N/A)</f>
        <v>3.5000000000000003E-2</v>
      </c>
      <c r="AP153" s="23">
        <f t="shared" ca="1" si="30"/>
        <v>3.5000000000000003E-2</v>
      </c>
      <c r="AQ153" s="29" t="str">
        <f t="shared" si="60"/>
        <v>Gen.Refurbished.12</v>
      </c>
      <c r="AR153" s="17">
        <f>MATCH(AR$88&amp;"."&amp;AQ153,Tab.Measure.f.Default!$A:$A,0)</f>
        <v>23</v>
      </c>
      <c r="AS153" s="21">
        <f ca="1">OFFSET(Tab.Measure.f.Default!$A$1,AR153-1,MATCH(AS$87&amp;"_"&amp;$J153,Tab.Measure.f.Default!$1:$1,0)-1)</f>
        <v>0.75</v>
      </c>
      <c r="AT153" s="29" t="str">
        <f t="shared" si="61"/>
        <v>MUH.NA.05</v>
      </c>
      <c r="AU153" s="17">
        <f>MATCH(AU$88&amp;"."&amp;AT153,Tab.Measure.f.Default!$A:$A,0)</f>
        <v>40</v>
      </c>
      <c r="AV153" s="21">
        <f ca="1">OFFSET(Tab.Measure.f.Default!$A$1,AU153-1,MATCH(AV$87&amp;"_"&amp;$J153,Tab.Measure.f.Default!$1:$1,0)-1)</f>
        <v>0.37</v>
      </c>
      <c r="AW153" s="30">
        <f t="shared" si="33"/>
        <v>1</v>
      </c>
      <c r="AX153" s="9">
        <f t="shared" ca="1" si="62"/>
        <v>0.83333333333333337</v>
      </c>
      <c r="AY153" s="9">
        <f t="shared" ca="1" si="63"/>
        <v>8</v>
      </c>
      <c r="AZ153" s="9">
        <f t="shared" ca="1" si="89"/>
        <v>8.8333333333333339</v>
      </c>
      <c r="BA153" s="9">
        <f t="shared" ca="1" si="90"/>
        <v>0.11320754716981131</v>
      </c>
      <c r="BB153" s="9">
        <f t="shared" ca="1" si="64"/>
        <v>0.11320754716981131</v>
      </c>
      <c r="BC153" s="32" t="str">
        <f t="shared" si="65"/>
        <v>D</v>
      </c>
      <c r="BD153" s="20" t="str">
        <f ca="1">OFFSET(Tab.Uncertainty.Levels!$A$1,MATCH(BD$88,Tab.Uncertainty.Levels!$A:$A,0)-1,MATCH(BD$87&amp;"_"&amp;BC153,Tab.Uncertainty.Levels!$1:$1,0)-1)</f>
        <v>Use of default values; building constructed until 1983</v>
      </c>
      <c r="BE153" s="24">
        <f ca="1">OFFSET(Tab.Uncertainty.Levels!$A$1,MATCH(BE$88,Tab.Uncertainty.Levels!$A:$A,0)-1,MATCH(BE$87&amp;"_"&amp;BC153,Tab.Uncertainty.Levels!$1:$1,0)-1)</f>
        <v>0.3</v>
      </c>
      <c r="BF153" s="32" t="str">
        <f t="shared" si="66"/>
        <v>-</v>
      </c>
      <c r="BG153" s="20" t="e">
        <f ca="1">OFFSET(Tab.Uncertainty.Levels!$A$1,MATCH(BG$88,Tab.Uncertainty.Levels!$A:$A,0)-1,MATCH(BG$87&amp;"_"&amp;BF153,Tab.Uncertainty.Levels!$1:$1,0)-1)</f>
        <v>#N/A</v>
      </c>
      <c r="BH153" s="24" t="e">
        <f ca="1">OFFSET(Tab.Uncertainty.Levels!$A$1,MATCH(BH$88,Tab.Uncertainty.Levels!$A:$A,0)-1,MATCH(BH$87&amp;"_"&amp;BF153,Tab.Uncertainty.Levels!$1:$1,0)-1)</f>
        <v>#N/A</v>
      </c>
      <c r="BI153" s="32" t="str">
        <f t="shared" si="31"/>
        <v>D</v>
      </c>
      <c r="BJ153" s="13">
        <f ca="1">IF(BF153="-",BE153,BH153)</f>
        <v>0.3</v>
      </c>
      <c r="BK153" s="32" t="str">
        <f>IF(OR($L153="NoDataSource",IFERROR(IF($S153="",#N/A,$S153),0)=0),IF(IFERROR(IF(U153="",#N/A,U153),0)=0,"E","D"),IF($L153="DesignDataPlusQA","A",IF($L153="DesignData","B","C")))</f>
        <v>C</v>
      </c>
      <c r="BL153" s="20" t="str">
        <f ca="1">OFFSET(Tab.Uncertainty.Levels!$A$1,MATCH(BL$88,Tab.Uncertainty.Levels!$A:$A,0)-1,MATCH(BL$87&amp;"_"&amp;BK153,Tab.Uncertainty.Levels!$1:$1,0)-1)</f>
        <v>Insulation thickness determined by inspection onsite / record or statement of owner</v>
      </c>
      <c r="BM153" s="24">
        <f ca="1">OFFSET(Tab.Uncertainty.Levels!$A$1,MATCH(BM$88,Tab.Uncertainty.Levels!$A:$A,0)-1,MATCH(BM$87&amp;"_"&amp;BK153,Tab.Uncertainty.Levels!$1:$1,0)-1)</f>
        <v>0.25</v>
      </c>
      <c r="BN153" s="34">
        <f ca="1">OFFSET(Tab.Uncertainty.Levels!$A$1,MATCH(BN$88,Tab.Uncertainty.Levels!$A:$A,0)-1,MATCH(BN$87&amp;"_"&amp;BK153,Tab.Uncertainty.Levels!$1:$1,0)-1)</f>
        <v>2</v>
      </c>
      <c r="BO153" s="13">
        <f ca="1">IFERROR(MIN(BM153,BN153/AN153),0)</f>
        <v>7.1428571428571425E-2</v>
      </c>
      <c r="BP153" s="32" t="str">
        <f>IF(OR($L153="NoDataSource",IFERROR(IF($V153="",#N/A,$V153),0)=0),IF(IFERROR(IF(U153="",#N/A,U153),0)=0,"E","D"),IF($L153="DesignDataPlusQA","A",IF($L153="DesignData","B","C")))</f>
        <v>D</v>
      </c>
      <c r="BQ153" s="20" t="str">
        <f ca="1">OFFSET(Tab.Uncertainty.Levels!$A$1,MATCH(BQ$88,Tab.Uncertainty.Levels!$A:$A,0)-1,MATCH(BQ$87&amp;"_"&amp;BP153,Tab.Uncertainty.Levels!$1:$1,0)-1)</f>
        <v>Insulation available; no information about material</v>
      </c>
      <c r="BR153" s="97">
        <f ca="1">OFFSET(Tab.Uncertainty.Levels!$A$1,MATCH(BR$88,Tab.Uncertainty.Levels!$A:$A,0)-1,MATCH(BR$87&amp;"_"&amp;BP153,Tab.Uncertainty.Levels!$1:$1,0)-1)</f>
        <v>0.2</v>
      </c>
      <c r="BS153" s="32" t="str">
        <f>IF(L153="NoDataSource","D",IF(IFERROR(IF($T153="",#N/A,$T153),0)=0,IF(OR(IFERROR(IF($S153="",#N/A,$S153),0)&gt;0,$R153="Refurbish"),"D","E"),IF($L153="DesignDataPlusQA","A",IF($L153="DesignData","B","C"))))</f>
        <v>C</v>
      </c>
      <c r="BT153" s="20" t="str">
        <f ca="1">OFFSET(Tab.Uncertainty.Levels!$A$1,MATCH(BT$88,Tab.Uncertainty.Levels!$A:$A,0)-1,MATCH(BT$87&amp;"_"&amp;BS153,Tab.Uncertainty.Levels!$1:$1,0)-1)</f>
        <v>Insulation fraction determined by inspection onsite / record or statement of owner</v>
      </c>
      <c r="BU153" s="33">
        <f ca="1">OFFSET(Tab.Uncertainty.Levels!$A$1,MATCH(BU$88,Tab.Uncertainty.Levels!$A:$A,0)-1,MATCH(BU$87&amp;"_"&amp;BS153,Tab.Uncertainty.Levels!$1:$1,0)-1)</f>
        <v>0.2</v>
      </c>
      <c r="BV153" s="13">
        <f ca="1">IFERROR(MIN(BU153/AW153,1,(1-AW153)/AW153),0)</f>
        <v>0</v>
      </c>
      <c r="BW153" s="96">
        <f ca="1">ABS(1+(AW153*(1/(1+AN153/100/AP153*AG153)^2-1)))*BJ153*$AG153</f>
        <v>3.2039871840512644E-3</v>
      </c>
      <c r="BX153" s="96">
        <f ca="1">ABS(-AG153+1/(1/AG153+AN153/100/AP153))*BV153*AW153</f>
        <v>0</v>
      </c>
      <c r="BY153" s="96">
        <f ca="1">ABS(-AW153*AP153/((AP153/AG153+AN153/100)^2))*(BO153*AN153/100)</f>
        <v>7.3233992778314596E-3</v>
      </c>
      <c r="BZ153" s="202">
        <f ca="1">ABS(AW153*AN153/100/(1/AG153*AP153+AN153/100)^2)*(BR153*AP153)</f>
        <v>2.050551797792809E-2</v>
      </c>
      <c r="CA153" s="103">
        <f t="shared" ca="1" si="32"/>
        <v>2.2008497867897284E-2</v>
      </c>
      <c r="CB153" s="37">
        <f t="shared" ca="1" si="67"/>
        <v>2.8301886792452838E-2</v>
      </c>
      <c r="CC153" s="37">
        <f t="shared" ca="1" si="68"/>
        <v>0</v>
      </c>
      <c r="CD153" s="37">
        <f t="shared" ca="1" si="69"/>
        <v>6.4690026954177901E-2</v>
      </c>
      <c r="CE153" s="37">
        <f t="shared" ca="1" si="70"/>
        <v>0.18113207547169816</v>
      </c>
      <c r="CF153" s="13">
        <f t="shared" ca="1" si="71"/>
        <v>0.19440839783309269</v>
      </c>
      <c r="CG153" s="101">
        <f ca="1">AG153</f>
        <v>1.2</v>
      </c>
      <c r="CH153" s="101">
        <f>AW153</f>
        <v>1</v>
      </c>
      <c r="CI153" s="203">
        <f>IF(CH153&gt;0,AN153,0)</f>
        <v>28</v>
      </c>
      <c r="CJ153" s="102">
        <f ca="1">IF(AND(CH153&gt;0,CI153&gt;0),AP153,0)</f>
        <v>3.5000000000000003E-2</v>
      </c>
      <c r="CK153" s="102">
        <f ca="1">BB153</f>
        <v>0.11320754716981131</v>
      </c>
      <c r="CL153" s="37">
        <f t="shared" ca="1" si="49"/>
        <v>0.3</v>
      </c>
      <c r="CM153" s="37">
        <f t="shared" ca="1" si="50"/>
        <v>0</v>
      </c>
      <c r="CN153" s="37">
        <f t="shared" ca="1" si="51"/>
        <v>7.1428571428571425E-2</v>
      </c>
      <c r="CO153" s="37">
        <f t="shared" ca="1" si="52"/>
        <v>0.2</v>
      </c>
      <c r="CP153" s="37">
        <f t="shared" ca="1" si="53"/>
        <v>0.19440839783309269</v>
      </c>
      <c r="CQ153" s="95">
        <f t="shared" ca="1" si="54"/>
        <v>0.36</v>
      </c>
      <c r="CR153" s="95">
        <f t="shared" ca="1" si="55"/>
        <v>0</v>
      </c>
      <c r="CS153" s="95">
        <f t="shared" ca="1" si="56"/>
        <v>2</v>
      </c>
      <c r="CT153" s="103">
        <f t="shared" ca="1" si="57"/>
        <v>7.000000000000001E-3</v>
      </c>
      <c r="CU153" s="95">
        <f t="shared" ca="1" si="58"/>
        <v>2.2008497867897284E-2</v>
      </c>
      <c r="CV153" s="37">
        <f ca="1">$CB153^2/$CF153^2</f>
        <v>2.1193404958391726E-2</v>
      </c>
      <c r="CW153" s="37">
        <f ca="1">$CD153^2/$CF153^2</f>
        <v>0.11072472794588324</v>
      </c>
      <c r="CX153" s="37">
        <f ca="1">$CE153^2/$CF153^2</f>
        <v>0.8680818670957251</v>
      </c>
      <c r="CY153" s="37">
        <f ca="1">$CC153^2/$CF153^2</f>
        <v>0</v>
      </c>
      <c r="DA153" s="98" t="s">
        <v>214</v>
      </c>
      <c r="DB153" s="36">
        <f ca="1">OFFSET($A$1,ROW(DB153)-1,MATCH(DA153,$1:$1,0)-1)</f>
        <v>28</v>
      </c>
      <c r="DC153" s="9">
        <f ca="1">BB153</f>
        <v>0.11320754716981131</v>
      </c>
      <c r="DD153" s="9">
        <f ca="1">$DC153+$CA153</f>
        <v>0.13521604503770859</v>
      </c>
      <c r="DE153" s="9">
        <f ca="1">$DC153-$CA153</f>
        <v>9.1199049301914026E-2</v>
      </c>
      <c r="DF153" s="10">
        <f t="shared" ca="1" si="87"/>
        <v>0.19440839783309269</v>
      </c>
    </row>
    <row r="154" spans="1:110" s="8" customFormat="1" ht="32.4" customHeight="1">
      <c r="A154" s="206" t="s">
        <v>590</v>
      </c>
      <c r="B154" s="208" t="s">
        <v>2344</v>
      </c>
      <c r="C154" s="206" t="str">
        <f t="shared" si="88"/>
        <v>Parameter-Variation: d_Insulation = 32 cm</v>
      </c>
      <c r="D154" s="206"/>
      <c r="E154" s="206" t="s">
        <v>198</v>
      </c>
      <c r="F154" s="206" t="str">
        <f t="shared" si="94"/>
        <v>32 cm</v>
      </c>
      <c r="G154" s="206" t="s">
        <v>2170</v>
      </c>
      <c r="H154" s="206" t="s">
        <v>2171</v>
      </c>
      <c r="I154" s="156" t="s">
        <v>80</v>
      </c>
      <c r="J154" s="156" t="s">
        <v>134</v>
      </c>
      <c r="K154" s="156" t="s">
        <v>155</v>
      </c>
      <c r="L154" s="156" t="s">
        <v>66</v>
      </c>
      <c r="M154" s="156" t="s">
        <v>188</v>
      </c>
      <c r="N154" s="7">
        <v>1960</v>
      </c>
      <c r="O154" s="156">
        <v>1</v>
      </c>
      <c r="P154" s="156">
        <v>0</v>
      </c>
      <c r="Q154" s="156" t="s">
        <v>435</v>
      </c>
      <c r="R154" s="156" t="s">
        <v>58</v>
      </c>
      <c r="S154" s="19">
        <f t="shared" si="95"/>
        <v>32</v>
      </c>
      <c r="T154" s="19">
        <v>1</v>
      </c>
      <c r="U154" s="19">
        <v>2016</v>
      </c>
      <c r="V154" s="19" t="e">
        <v>#N/A</v>
      </c>
      <c r="W154" s="28" t="s">
        <v>59</v>
      </c>
      <c r="X154" s="19" t="e">
        <v>#N/A</v>
      </c>
      <c r="Y154" s="105">
        <f ca="1">IFERROR(OFFSET(Tab.Const.ConstrBorder!$A$1,MATCH(Q154,Tab.Const.ConstrBorder!$A:$A,0)-1,MATCH(Y$87,Tab.Const.ConstrBorder!$1:$1,0)-1),0)</f>
        <v>0</v>
      </c>
      <c r="Z154" s="18">
        <f t="shared" si="27"/>
        <v>1960</v>
      </c>
      <c r="AA154" s="17">
        <f>MATCH(Z154,Tab.Year.Period!$11:$11,1)-3</f>
        <v>5</v>
      </c>
      <c r="AB154" s="17">
        <f>MATCH(AB$88&amp;"."&amp;TEXT(AA154,"00"),Tab.U.Default!$A:$A,0)</f>
        <v>28</v>
      </c>
      <c r="AC154" s="105">
        <f ca="1">OFFSET(Tab.U.Default!$A$1,$AB154-1,MATCH("U_Class_"&amp;IF($J154="TopCeiling","UpperCeiling",$J154)&amp;"_"&amp;AC$87,Tab.U.Default!$1:$1,0)-1)</f>
        <v>1.2</v>
      </c>
      <c r="AD154" s="105">
        <f ca="1">OFFSET(Tab.U.Default!$A$1,$AB154-1,MATCH("U_Class_"&amp;IF($J154="TopCeiling","UpperCeiling",$J154)&amp;"_"&amp;AD$87,Tab.U.Default!$1:$1,0)-1)</f>
        <v>1.2</v>
      </c>
      <c r="AE154" s="105">
        <f ca="1">OFFSET(Tab.U.Default!$A$1,$AB154-1,MATCH("U_Class_"&amp;IF($J154="TopCeiling","UpperCeiling",$J154)&amp;"_"&amp;AE$87,Tab.U.Default!$1:$1,0)-1)</f>
        <v>0.8</v>
      </c>
      <c r="AF154" s="26">
        <f t="shared" ca="1" si="0"/>
        <v>1.2</v>
      </c>
      <c r="AG154" s="26">
        <f t="shared" ca="1" si="48"/>
        <v>1.2</v>
      </c>
      <c r="AH154" s="18" t="str">
        <f t="shared" si="59"/>
        <v>Refurbish</v>
      </c>
      <c r="AI154" s="18" t="str">
        <f t="shared" si="28"/>
        <v>Add</v>
      </c>
      <c r="AJ154" s="18">
        <f t="shared" si="3"/>
        <v>2016</v>
      </c>
      <c r="AK154" s="17">
        <f>MATCH(AJ154,Tab.Year.Period!$11:$11,1)-3</f>
        <v>12</v>
      </c>
      <c r="AL154" s="17">
        <f>MATCH(AL$88&amp;"."&amp;TEXT(AK154,"00"),Tab.Insulation.Default!$A:$A,0)</f>
        <v>23</v>
      </c>
      <c r="AM154" s="20" t="e">
        <f ca="1">IF(ISNA(IF(S154="",#N/A,S154)),OFFSET(Tab.Insulation.Default!$A$1,$AL154-1,MATCH(AM$87&amp;"_"&amp;$K154,Tab.Insulation.Default!$1:$1,0)-1),#N/A)</f>
        <v>#N/A</v>
      </c>
      <c r="AN154" s="27">
        <f t="shared" si="29"/>
        <v>32</v>
      </c>
      <c r="AO154" s="22">
        <f ca="1">IF(ISNA(IF(V154="",#N/A,V154)),OFFSET(Tab.Insulation.Default!$A$1,$AL154-1,MATCH(AO$87&amp;"_"&amp;$K154,Tab.Insulation.Default!$1:$1,0)-1),#N/A)</f>
        <v>3.5000000000000003E-2</v>
      </c>
      <c r="AP154" s="23">
        <f t="shared" ca="1" si="30"/>
        <v>3.5000000000000003E-2</v>
      </c>
      <c r="AQ154" s="29" t="str">
        <f t="shared" si="60"/>
        <v>Gen.Refurbished.12</v>
      </c>
      <c r="AR154" s="17">
        <f>MATCH(AR$88&amp;"."&amp;AQ154,Tab.Measure.f.Default!$A:$A,0)</f>
        <v>23</v>
      </c>
      <c r="AS154" s="21">
        <f ca="1">OFFSET(Tab.Measure.f.Default!$A$1,AR154-1,MATCH(AS$87&amp;"_"&amp;$J154,Tab.Measure.f.Default!$1:$1,0)-1)</f>
        <v>0.75</v>
      </c>
      <c r="AT154" s="29" t="str">
        <f t="shared" si="61"/>
        <v>MUH.NA.05</v>
      </c>
      <c r="AU154" s="17">
        <f>MATCH(AU$88&amp;"."&amp;AT154,Tab.Measure.f.Default!$A:$A,0)</f>
        <v>40</v>
      </c>
      <c r="AV154" s="21">
        <f ca="1">OFFSET(Tab.Measure.f.Default!$A$1,AU154-1,MATCH(AV$87&amp;"_"&amp;$J154,Tab.Measure.f.Default!$1:$1,0)-1)</f>
        <v>0.37</v>
      </c>
      <c r="AW154" s="30">
        <f t="shared" si="33"/>
        <v>1</v>
      </c>
      <c r="AX154" s="9">
        <f t="shared" ca="1" si="62"/>
        <v>0.83333333333333337</v>
      </c>
      <c r="AY154" s="9">
        <f t="shared" ca="1" si="63"/>
        <v>9.1428571428571423</v>
      </c>
      <c r="AZ154" s="9">
        <f t="shared" ca="1" si="89"/>
        <v>9.9761904761904763</v>
      </c>
      <c r="BA154" s="9">
        <f t="shared" ca="1" si="90"/>
        <v>0.10023866348448687</v>
      </c>
      <c r="BB154" s="9">
        <f t="shared" ca="1" si="64"/>
        <v>0.10023866348448687</v>
      </c>
      <c r="BC154" s="32" t="str">
        <f t="shared" si="65"/>
        <v>D</v>
      </c>
      <c r="BD154" s="20" t="str">
        <f ca="1">OFFSET(Tab.Uncertainty.Levels!$A$1,MATCH(BD$88,Tab.Uncertainty.Levels!$A:$A,0)-1,MATCH(BD$87&amp;"_"&amp;BC154,Tab.Uncertainty.Levels!$1:$1,0)-1)</f>
        <v>Use of default values; building constructed until 1983</v>
      </c>
      <c r="BE154" s="24">
        <f ca="1">OFFSET(Tab.Uncertainty.Levels!$A$1,MATCH(BE$88,Tab.Uncertainty.Levels!$A:$A,0)-1,MATCH(BE$87&amp;"_"&amp;BC154,Tab.Uncertainty.Levels!$1:$1,0)-1)</f>
        <v>0.3</v>
      </c>
      <c r="BF154" s="32" t="str">
        <f t="shared" si="66"/>
        <v>-</v>
      </c>
      <c r="BG154" s="20" t="e">
        <f ca="1">OFFSET(Tab.Uncertainty.Levels!$A$1,MATCH(BG$88,Tab.Uncertainty.Levels!$A:$A,0)-1,MATCH(BG$87&amp;"_"&amp;BF154,Tab.Uncertainty.Levels!$1:$1,0)-1)</f>
        <v>#N/A</v>
      </c>
      <c r="BH154" s="24" t="e">
        <f ca="1">OFFSET(Tab.Uncertainty.Levels!$A$1,MATCH(BH$88,Tab.Uncertainty.Levels!$A:$A,0)-1,MATCH(BH$87&amp;"_"&amp;BF154,Tab.Uncertainty.Levels!$1:$1,0)-1)</f>
        <v>#N/A</v>
      </c>
      <c r="BI154" s="32" t="str">
        <f t="shared" si="31"/>
        <v>D</v>
      </c>
      <c r="BJ154" s="13">
        <f ca="1">IF(BF154="-",BE154,BH154)</f>
        <v>0.3</v>
      </c>
      <c r="BK154" s="32" t="str">
        <f>IF(OR($L154="NoDataSource",IFERROR(IF($S154="",#N/A,$S154),0)=0),IF(IFERROR(IF(U154="",#N/A,U154),0)=0,"E","D"),IF($L154="DesignDataPlusQA","A",IF($L154="DesignData","B","C")))</f>
        <v>C</v>
      </c>
      <c r="BL154" s="20" t="str">
        <f ca="1">OFFSET(Tab.Uncertainty.Levels!$A$1,MATCH(BL$88,Tab.Uncertainty.Levels!$A:$A,0)-1,MATCH(BL$87&amp;"_"&amp;BK154,Tab.Uncertainty.Levels!$1:$1,0)-1)</f>
        <v>Insulation thickness determined by inspection onsite / record or statement of owner</v>
      </c>
      <c r="BM154" s="24">
        <f ca="1">OFFSET(Tab.Uncertainty.Levels!$A$1,MATCH(BM$88,Tab.Uncertainty.Levels!$A:$A,0)-1,MATCH(BM$87&amp;"_"&amp;BK154,Tab.Uncertainty.Levels!$1:$1,0)-1)</f>
        <v>0.25</v>
      </c>
      <c r="BN154" s="34">
        <f ca="1">OFFSET(Tab.Uncertainty.Levels!$A$1,MATCH(BN$88,Tab.Uncertainty.Levels!$A:$A,0)-1,MATCH(BN$87&amp;"_"&amp;BK154,Tab.Uncertainty.Levels!$1:$1,0)-1)</f>
        <v>2</v>
      </c>
      <c r="BO154" s="13">
        <f ca="1">IFERROR(MIN(BM154,BN154/AN154),0)</f>
        <v>6.25E-2</v>
      </c>
      <c r="BP154" s="32" t="str">
        <f>IF(OR($L154="NoDataSource",IFERROR(IF($V154="",#N/A,$V154),0)=0),IF(IFERROR(IF(U154="",#N/A,U154),0)=0,"E","D"),IF($L154="DesignDataPlusQA","A",IF($L154="DesignData","B","C")))</f>
        <v>D</v>
      </c>
      <c r="BQ154" s="20" t="str">
        <f ca="1">OFFSET(Tab.Uncertainty.Levels!$A$1,MATCH(BQ$88,Tab.Uncertainty.Levels!$A:$A,0)-1,MATCH(BQ$87&amp;"_"&amp;BP154,Tab.Uncertainty.Levels!$1:$1,0)-1)</f>
        <v>Insulation available; no information about material</v>
      </c>
      <c r="BR154" s="97">
        <f ca="1">OFFSET(Tab.Uncertainty.Levels!$A$1,MATCH(BR$88,Tab.Uncertainty.Levels!$A:$A,0)-1,MATCH(BR$87&amp;"_"&amp;BP154,Tab.Uncertainty.Levels!$1:$1,0)-1)</f>
        <v>0.2</v>
      </c>
      <c r="BS154" s="32" t="str">
        <f>IF(L154="NoDataSource","D",IF(IFERROR(IF($T154="",#N/A,$T154),0)=0,IF(OR(IFERROR(IF($S154="",#N/A,$S154),0)&gt;0,$R154="Refurbish"),"D","E"),IF($L154="DesignDataPlusQA","A",IF($L154="DesignData","B","C"))))</f>
        <v>C</v>
      </c>
      <c r="BT154" s="20" t="str">
        <f ca="1">OFFSET(Tab.Uncertainty.Levels!$A$1,MATCH(BT$88,Tab.Uncertainty.Levels!$A:$A,0)-1,MATCH(BT$87&amp;"_"&amp;BS154,Tab.Uncertainty.Levels!$1:$1,0)-1)</f>
        <v>Insulation fraction determined by inspection onsite / record or statement of owner</v>
      </c>
      <c r="BU154" s="33">
        <f ca="1">OFFSET(Tab.Uncertainty.Levels!$A$1,MATCH(BU$88,Tab.Uncertainty.Levels!$A:$A,0)-1,MATCH(BU$87&amp;"_"&amp;BS154,Tab.Uncertainty.Levels!$1:$1,0)-1)</f>
        <v>0.2</v>
      </c>
      <c r="BV154" s="13">
        <f ca="1">IFERROR(MIN(BU154/AW154,1,(1-AW154)/AW154),0)</f>
        <v>0</v>
      </c>
      <c r="BW154" s="96">
        <f ca="1">ABS(1+(AW154*(1/(1+AN154/100/AP154*AG154)^2-1)))*BJ154*$AG154</f>
        <v>2.5119474142890441E-3</v>
      </c>
      <c r="BX154" s="96">
        <f ca="1">ABS(-AG154+1/(1/AG154+AN154/100/AP154))*BV154*AW154</f>
        <v>0</v>
      </c>
      <c r="BY154" s="96">
        <f ca="1">ABS(-AW154*AP154/((AP154/AG154+AN154/100)^2))*(BO154*AN154/100)</f>
        <v>5.7415940898035448E-3</v>
      </c>
      <c r="BZ154" s="202">
        <f ca="1">ABS(AW154*AN154/100/(1/AG154*AP154+AN154/100)^2)*(BR154*AP154)</f>
        <v>1.8373101087371342E-2</v>
      </c>
      <c r="CA154" s="103">
        <f t="shared" ca="1" si="32"/>
        <v>1.9412537857554493E-2</v>
      </c>
      <c r="CB154" s="37">
        <f t="shared" ca="1" si="67"/>
        <v>2.5059665871121656E-2</v>
      </c>
      <c r="CC154" s="37">
        <f t="shared" ca="1" si="68"/>
        <v>0</v>
      </c>
      <c r="CD154" s="37">
        <f t="shared" ca="1" si="69"/>
        <v>5.7279236276849652E-2</v>
      </c>
      <c r="CE154" s="37">
        <f t="shared" ca="1" si="70"/>
        <v>0.18329355608591888</v>
      </c>
      <c r="CF154" s="13">
        <f t="shared" ca="1" si="71"/>
        <v>0.19366317529322224</v>
      </c>
      <c r="CG154" s="101">
        <f ca="1">AG154</f>
        <v>1.2</v>
      </c>
      <c r="CH154" s="101">
        <f>AW154</f>
        <v>1</v>
      </c>
      <c r="CI154" s="203">
        <f>IF(CH154&gt;0,AN154,0)</f>
        <v>32</v>
      </c>
      <c r="CJ154" s="102">
        <f ca="1">IF(AND(CH154&gt;0,CI154&gt;0),AP154,0)</f>
        <v>3.5000000000000003E-2</v>
      </c>
      <c r="CK154" s="102">
        <f ca="1">BB154</f>
        <v>0.10023866348448687</v>
      </c>
      <c r="CL154" s="37">
        <f t="shared" ca="1" si="49"/>
        <v>0.3</v>
      </c>
      <c r="CM154" s="37">
        <f t="shared" ca="1" si="50"/>
        <v>0</v>
      </c>
      <c r="CN154" s="37">
        <f t="shared" ca="1" si="51"/>
        <v>6.25E-2</v>
      </c>
      <c r="CO154" s="37">
        <f t="shared" ca="1" si="52"/>
        <v>0.2</v>
      </c>
      <c r="CP154" s="37">
        <f t="shared" ca="1" si="53"/>
        <v>0.19366317529322224</v>
      </c>
      <c r="CQ154" s="95">
        <f t="shared" ca="1" si="54"/>
        <v>0.36</v>
      </c>
      <c r="CR154" s="95">
        <f t="shared" ca="1" si="55"/>
        <v>0</v>
      </c>
      <c r="CS154" s="95">
        <f t="shared" ca="1" si="56"/>
        <v>2</v>
      </c>
      <c r="CT154" s="103">
        <f t="shared" ca="1" si="57"/>
        <v>7.000000000000001E-3</v>
      </c>
      <c r="CU154" s="95">
        <f t="shared" ca="1" si="58"/>
        <v>1.9412537857554497E-2</v>
      </c>
      <c r="CV154" s="37">
        <f ca="1">$CB154^2/$CF154^2</f>
        <v>1.6743893604515978E-2</v>
      </c>
      <c r="CW154" s="37">
        <f ca="1">$CD154^2/$CF154^2</f>
        <v>8.7478301280736998E-2</v>
      </c>
      <c r="CX154" s="37">
        <f ca="1">$CE154^2/$CF154^2</f>
        <v>0.89577780511474692</v>
      </c>
      <c r="CY154" s="37">
        <f ca="1">$CC154^2/$CF154^2</f>
        <v>0</v>
      </c>
      <c r="DA154" s="98" t="s">
        <v>214</v>
      </c>
      <c r="DB154" s="36">
        <f ca="1">OFFSET($A$1,ROW(DB154)-1,MATCH(DA154,$1:$1,0)-1)</f>
        <v>32</v>
      </c>
      <c r="DC154" s="9">
        <f ca="1">BB154</f>
        <v>0.10023866348448687</v>
      </c>
      <c r="DD154" s="9">
        <f ca="1">$DC154+$CA154</f>
        <v>0.11965120134204137</v>
      </c>
      <c r="DE154" s="9">
        <f ca="1">$DC154-$CA154</f>
        <v>8.082612562693238E-2</v>
      </c>
      <c r="DF154" s="10">
        <f t="shared" ca="1" si="87"/>
        <v>0.19366317529322222</v>
      </c>
    </row>
    <row r="155" spans="1:110" s="8" customFormat="1" ht="32.4" customHeight="1">
      <c r="A155" s="206" t="s">
        <v>591</v>
      </c>
      <c r="B155" s="208" t="s">
        <v>2344</v>
      </c>
      <c r="C155" s="206" t="str">
        <f t="shared" si="88"/>
        <v>Parameter-Variation: d_Insulation = 36 cm</v>
      </c>
      <c r="D155" s="206"/>
      <c r="E155" s="206" t="s">
        <v>198</v>
      </c>
      <c r="F155" s="206" t="str">
        <f t="shared" si="94"/>
        <v>36 cm</v>
      </c>
      <c r="G155" s="206" t="s">
        <v>2170</v>
      </c>
      <c r="H155" s="206" t="s">
        <v>2171</v>
      </c>
      <c r="I155" s="156" t="s">
        <v>80</v>
      </c>
      <c r="J155" s="156" t="s">
        <v>134</v>
      </c>
      <c r="K155" s="156" t="s">
        <v>155</v>
      </c>
      <c r="L155" s="156" t="s">
        <v>66</v>
      </c>
      <c r="M155" s="156" t="s">
        <v>188</v>
      </c>
      <c r="N155" s="7">
        <v>1960</v>
      </c>
      <c r="O155" s="156">
        <v>1</v>
      </c>
      <c r="P155" s="156">
        <v>0</v>
      </c>
      <c r="Q155" s="156" t="s">
        <v>435</v>
      </c>
      <c r="R155" s="156" t="s">
        <v>58</v>
      </c>
      <c r="S155" s="19">
        <f t="shared" si="95"/>
        <v>36</v>
      </c>
      <c r="T155" s="19">
        <v>1</v>
      </c>
      <c r="U155" s="19">
        <v>2016</v>
      </c>
      <c r="V155" s="19" t="e">
        <v>#N/A</v>
      </c>
      <c r="W155" s="28" t="s">
        <v>59</v>
      </c>
      <c r="X155" s="19" t="e">
        <v>#N/A</v>
      </c>
      <c r="Y155" s="105">
        <f ca="1">IFERROR(OFFSET(Tab.Const.ConstrBorder!$A$1,MATCH(Q155,Tab.Const.ConstrBorder!$A:$A,0)-1,MATCH(Y$87,Tab.Const.ConstrBorder!$1:$1,0)-1),0)</f>
        <v>0</v>
      </c>
      <c r="Z155" s="18">
        <f t="shared" si="27"/>
        <v>1960</v>
      </c>
      <c r="AA155" s="17">
        <f>MATCH(Z155,Tab.Year.Period!$11:$11,1)-3</f>
        <v>5</v>
      </c>
      <c r="AB155" s="17">
        <f>MATCH(AB$88&amp;"."&amp;TEXT(AA155,"00"),Tab.U.Default!$A:$A,0)</f>
        <v>28</v>
      </c>
      <c r="AC155" s="105">
        <f ca="1">OFFSET(Tab.U.Default!$A$1,$AB155-1,MATCH("U_Class_"&amp;IF($J155="TopCeiling","UpperCeiling",$J155)&amp;"_"&amp;AC$87,Tab.U.Default!$1:$1,0)-1)</f>
        <v>1.2</v>
      </c>
      <c r="AD155" s="105">
        <f ca="1">OFFSET(Tab.U.Default!$A$1,$AB155-1,MATCH("U_Class_"&amp;IF($J155="TopCeiling","UpperCeiling",$J155)&amp;"_"&amp;AD$87,Tab.U.Default!$1:$1,0)-1)</f>
        <v>1.2</v>
      </c>
      <c r="AE155" s="105">
        <f ca="1">OFFSET(Tab.U.Default!$A$1,$AB155-1,MATCH("U_Class_"&amp;IF($J155="TopCeiling","UpperCeiling",$J155)&amp;"_"&amp;AE$87,Tab.U.Default!$1:$1,0)-1)</f>
        <v>0.8</v>
      </c>
      <c r="AF155" s="26">
        <f t="shared" ca="1" si="0"/>
        <v>1.2</v>
      </c>
      <c r="AG155" s="26">
        <f t="shared" ca="1" si="48"/>
        <v>1.2</v>
      </c>
      <c r="AH155" s="18" t="str">
        <f t="shared" si="59"/>
        <v>Refurbish</v>
      </c>
      <c r="AI155" s="18" t="str">
        <f t="shared" si="28"/>
        <v>Add</v>
      </c>
      <c r="AJ155" s="18">
        <f t="shared" si="3"/>
        <v>2016</v>
      </c>
      <c r="AK155" s="17">
        <f>MATCH(AJ155,Tab.Year.Period!$11:$11,1)-3</f>
        <v>12</v>
      </c>
      <c r="AL155" s="17">
        <f>MATCH(AL$88&amp;"."&amp;TEXT(AK155,"00"),Tab.Insulation.Default!$A:$A,0)</f>
        <v>23</v>
      </c>
      <c r="AM155" s="20" t="e">
        <f ca="1">IF(ISNA(IF(S155="",#N/A,S155)),OFFSET(Tab.Insulation.Default!$A$1,$AL155-1,MATCH(AM$87&amp;"_"&amp;$K155,Tab.Insulation.Default!$1:$1,0)-1),#N/A)</f>
        <v>#N/A</v>
      </c>
      <c r="AN155" s="27">
        <f t="shared" si="29"/>
        <v>36</v>
      </c>
      <c r="AO155" s="22">
        <f ca="1">IF(ISNA(IF(V155="",#N/A,V155)),OFFSET(Tab.Insulation.Default!$A$1,$AL155-1,MATCH(AO$87&amp;"_"&amp;$K155,Tab.Insulation.Default!$1:$1,0)-1),#N/A)</f>
        <v>3.5000000000000003E-2</v>
      </c>
      <c r="AP155" s="23">
        <f t="shared" ca="1" si="30"/>
        <v>3.5000000000000003E-2</v>
      </c>
      <c r="AQ155" s="29" t="str">
        <f t="shared" si="60"/>
        <v>Gen.Refurbished.12</v>
      </c>
      <c r="AR155" s="17">
        <f>MATCH(AR$88&amp;"."&amp;AQ155,Tab.Measure.f.Default!$A:$A,0)</f>
        <v>23</v>
      </c>
      <c r="AS155" s="21">
        <f ca="1">OFFSET(Tab.Measure.f.Default!$A$1,AR155-1,MATCH(AS$87&amp;"_"&amp;$J155,Tab.Measure.f.Default!$1:$1,0)-1)</f>
        <v>0.75</v>
      </c>
      <c r="AT155" s="29" t="str">
        <f t="shared" si="61"/>
        <v>MUH.NA.05</v>
      </c>
      <c r="AU155" s="17">
        <f>MATCH(AU$88&amp;"."&amp;AT155,Tab.Measure.f.Default!$A:$A,0)</f>
        <v>40</v>
      </c>
      <c r="AV155" s="21">
        <f ca="1">OFFSET(Tab.Measure.f.Default!$A$1,AU155-1,MATCH(AV$87&amp;"_"&amp;$J155,Tab.Measure.f.Default!$1:$1,0)-1)</f>
        <v>0.37</v>
      </c>
      <c r="AW155" s="30">
        <f t="shared" si="33"/>
        <v>1</v>
      </c>
      <c r="AX155" s="9">
        <f t="shared" ca="1" si="62"/>
        <v>0.83333333333333337</v>
      </c>
      <c r="AY155" s="9">
        <f t="shared" ca="1" si="63"/>
        <v>10.285714285714285</v>
      </c>
      <c r="AZ155" s="9">
        <f t="shared" ca="1" si="89"/>
        <v>11.119047619047619</v>
      </c>
      <c r="BA155" s="9">
        <f t="shared" ca="1" si="90"/>
        <v>8.9935760171306209E-2</v>
      </c>
      <c r="BB155" s="9">
        <f t="shared" ca="1" si="64"/>
        <v>8.9935760171306209E-2</v>
      </c>
      <c r="BC155" s="32" t="str">
        <f t="shared" si="65"/>
        <v>D</v>
      </c>
      <c r="BD155" s="20" t="str">
        <f ca="1">OFFSET(Tab.Uncertainty.Levels!$A$1,MATCH(BD$88,Tab.Uncertainty.Levels!$A:$A,0)-1,MATCH(BD$87&amp;"_"&amp;BC155,Tab.Uncertainty.Levels!$1:$1,0)-1)</f>
        <v>Use of default values; building constructed until 1983</v>
      </c>
      <c r="BE155" s="24">
        <f ca="1">OFFSET(Tab.Uncertainty.Levels!$A$1,MATCH(BE$88,Tab.Uncertainty.Levels!$A:$A,0)-1,MATCH(BE$87&amp;"_"&amp;BC155,Tab.Uncertainty.Levels!$1:$1,0)-1)</f>
        <v>0.3</v>
      </c>
      <c r="BF155" s="32" t="str">
        <f t="shared" si="66"/>
        <v>-</v>
      </c>
      <c r="BG155" s="20" t="e">
        <f ca="1">OFFSET(Tab.Uncertainty.Levels!$A$1,MATCH(BG$88,Tab.Uncertainty.Levels!$A:$A,0)-1,MATCH(BG$87&amp;"_"&amp;BF155,Tab.Uncertainty.Levels!$1:$1,0)-1)</f>
        <v>#N/A</v>
      </c>
      <c r="BH155" s="24" t="e">
        <f ca="1">OFFSET(Tab.Uncertainty.Levels!$A$1,MATCH(BH$88,Tab.Uncertainty.Levels!$A:$A,0)-1,MATCH(BH$87&amp;"_"&amp;BF155,Tab.Uncertainty.Levels!$1:$1,0)-1)</f>
        <v>#N/A</v>
      </c>
      <c r="BI155" s="32" t="str">
        <f t="shared" si="31"/>
        <v>D</v>
      </c>
      <c r="BJ155" s="13">
        <f ca="1">IF(BF155="-",BE155,BH155)</f>
        <v>0.3</v>
      </c>
      <c r="BK155" s="32" t="str">
        <f>IF(OR($L155="NoDataSource",IFERROR(IF($S155="",#N/A,$S155),0)=0),IF(IFERROR(IF(U155="",#N/A,U155),0)=0,"E","D"),IF($L155="DesignDataPlusQA","A",IF($L155="DesignData","B","C")))</f>
        <v>C</v>
      </c>
      <c r="BL155" s="20" t="str">
        <f ca="1">OFFSET(Tab.Uncertainty.Levels!$A$1,MATCH(BL$88,Tab.Uncertainty.Levels!$A:$A,0)-1,MATCH(BL$87&amp;"_"&amp;BK155,Tab.Uncertainty.Levels!$1:$1,0)-1)</f>
        <v>Insulation thickness determined by inspection onsite / record or statement of owner</v>
      </c>
      <c r="BM155" s="24">
        <f ca="1">OFFSET(Tab.Uncertainty.Levels!$A$1,MATCH(BM$88,Tab.Uncertainty.Levels!$A:$A,0)-1,MATCH(BM$87&amp;"_"&amp;BK155,Tab.Uncertainty.Levels!$1:$1,0)-1)</f>
        <v>0.25</v>
      </c>
      <c r="BN155" s="34">
        <f ca="1">OFFSET(Tab.Uncertainty.Levels!$A$1,MATCH(BN$88,Tab.Uncertainty.Levels!$A:$A,0)-1,MATCH(BN$87&amp;"_"&amp;BK155,Tab.Uncertainty.Levels!$1:$1,0)-1)</f>
        <v>2</v>
      </c>
      <c r="BO155" s="13">
        <f ca="1">IFERROR(MIN(BM155,BN155/AN155),0)</f>
        <v>5.5555555555555552E-2</v>
      </c>
      <c r="BP155" s="32" t="str">
        <f>IF(OR($L155="NoDataSource",IFERROR(IF($V155="",#N/A,$V155),0)=0),IF(IFERROR(IF(U155="",#N/A,U155),0)=0,"E","D"),IF($L155="DesignDataPlusQA","A",IF($L155="DesignData","B","C")))</f>
        <v>D</v>
      </c>
      <c r="BQ155" s="20" t="str">
        <f ca="1">OFFSET(Tab.Uncertainty.Levels!$A$1,MATCH(BQ$88,Tab.Uncertainty.Levels!$A:$A,0)-1,MATCH(BQ$87&amp;"_"&amp;BP155,Tab.Uncertainty.Levels!$1:$1,0)-1)</f>
        <v>Insulation available; no information about material</v>
      </c>
      <c r="BR155" s="97">
        <f ca="1">OFFSET(Tab.Uncertainty.Levels!$A$1,MATCH(BR$88,Tab.Uncertainty.Levels!$A:$A,0)-1,MATCH(BR$87&amp;"_"&amp;BP155,Tab.Uncertainty.Levels!$1:$1,0)-1)</f>
        <v>0.2</v>
      </c>
      <c r="BS155" s="32" t="str">
        <f>IF(L155="NoDataSource","D",IF(IFERROR(IF($T155="",#N/A,$T155),0)=0,IF(OR(IFERROR(IF($S155="",#N/A,$S155),0)&gt;0,$R155="Refurbish"),"D","E"),IF($L155="DesignDataPlusQA","A",IF($L155="DesignData","B","C"))))</f>
        <v>C</v>
      </c>
      <c r="BT155" s="20" t="str">
        <f ca="1">OFFSET(Tab.Uncertainty.Levels!$A$1,MATCH(BT$88,Tab.Uncertainty.Levels!$A:$A,0)-1,MATCH(BT$87&amp;"_"&amp;BS155,Tab.Uncertainty.Levels!$1:$1,0)-1)</f>
        <v>Insulation fraction determined by inspection onsite / record or statement of owner</v>
      </c>
      <c r="BU155" s="33">
        <f ca="1">OFFSET(Tab.Uncertainty.Levels!$A$1,MATCH(BU$88,Tab.Uncertainty.Levels!$A:$A,0)-1,MATCH(BU$87&amp;"_"&amp;BS155,Tab.Uncertainty.Levels!$1:$1,0)-1)</f>
        <v>0.2</v>
      </c>
      <c r="BV155" s="13">
        <f ca="1">IFERROR(MIN(BU155/AW155,1,(1-AW155)/AW155),0)</f>
        <v>0</v>
      </c>
      <c r="BW155" s="96">
        <f ca="1">ABS(1+(AW155*(1/(1+AN155/100/AP155*AG155)^2-1)))*BJ155*$AG155</f>
        <v>2.0221102393976676E-3</v>
      </c>
      <c r="BX155" s="96">
        <f ca="1">ABS(-AG155+1/(1/AG155+AN155/100/AP155))*BV155*AW155</f>
        <v>0</v>
      </c>
      <c r="BY155" s="96">
        <f ca="1">ABS(-AW155*AP155/((AP155/AG155+AN155/100)^2))*(BO155*AN155/100)</f>
        <v>4.621966261480405E-3</v>
      </c>
      <c r="BZ155" s="202">
        <f ca="1">ABS(AW155*AN155/100/(1/AG155*AP155+AN155/100)^2)*(BR155*AP155)</f>
        <v>1.6639078541329459E-2</v>
      </c>
      <c r="CA155" s="103">
        <f t="shared" ca="1" si="32"/>
        <v>1.7387076713670718E-2</v>
      </c>
      <c r="CB155" s="37">
        <f t="shared" ca="1" si="67"/>
        <v>2.2483940042826448E-2</v>
      </c>
      <c r="CC155" s="37">
        <f t="shared" ca="1" si="68"/>
        <v>0</v>
      </c>
      <c r="CD155" s="37">
        <f t="shared" ca="1" si="69"/>
        <v>5.1391862955032119E-2</v>
      </c>
      <c r="CE155" s="37">
        <f t="shared" ca="1" si="70"/>
        <v>0.18501070663811564</v>
      </c>
      <c r="CF155" s="13">
        <f t="shared" ca="1" si="71"/>
        <v>0.1933277339353387</v>
      </c>
      <c r="CG155" s="101">
        <f ca="1">AG155</f>
        <v>1.2</v>
      </c>
      <c r="CH155" s="101">
        <f>AW155</f>
        <v>1</v>
      </c>
      <c r="CI155" s="203">
        <f>IF(CH155&gt;0,AN155,0)</f>
        <v>36</v>
      </c>
      <c r="CJ155" s="102">
        <f ca="1">IF(AND(CH155&gt;0,CI155&gt;0),AP155,0)</f>
        <v>3.5000000000000003E-2</v>
      </c>
      <c r="CK155" s="102">
        <f ca="1">BB155</f>
        <v>8.9935760171306209E-2</v>
      </c>
      <c r="CL155" s="37">
        <f t="shared" ca="1" si="49"/>
        <v>0.3</v>
      </c>
      <c r="CM155" s="37">
        <f t="shared" ca="1" si="50"/>
        <v>0</v>
      </c>
      <c r="CN155" s="37">
        <f t="shared" ca="1" si="51"/>
        <v>5.5555555555555552E-2</v>
      </c>
      <c r="CO155" s="37">
        <f t="shared" ca="1" si="52"/>
        <v>0.2</v>
      </c>
      <c r="CP155" s="37">
        <f t="shared" ca="1" si="53"/>
        <v>0.1933277339353387</v>
      </c>
      <c r="CQ155" s="95">
        <f t="shared" ca="1" si="54"/>
        <v>0.36</v>
      </c>
      <c r="CR155" s="95">
        <f t="shared" ca="1" si="55"/>
        <v>0</v>
      </c>
      <c r="CS155" s="95">
        <f t="shared" ca="1" si="56"/>
        <v>2</v>
      </c>
      <c r="CT155" s="103">
        <f t="shared" ca="1" si="57"/>
        <v>7.000000000000001E-3</v>
      </c>
      <c r="CU155" s="95">
        <f t="shared" ca="1" si="58"/>
        <v>1.7387076713670718E-2</v>
      </c>
      <c r="CV155" s="37">
        <f ca="1">$CB155^2/$CF155^2</f>
        <v>1.3525599266857187E-2</v>
      </c>
      <c r="CW155" s="37">
        <f ca="1">$CD155^2/$CF155^2</f>
        <v>7.0664355353376965E-2</v>
      </c>
      <c r="CX155" s="37">
        <f ca="1">$CE155^2/$CF155^2</f>
        <v>0.91581004537976562</v>
      </c>
      <c r="CY155" s="37">
        <f ca="1">$CC155^2/$CF155^2</f>
        <v>0</v>
      </c>
      <c r="DA155" s="98" t="s">
        <v>214</v>
      </c>
      <c r="DB155" s="36">
        <f ca="1">OFFSET($A$1,ROW(DB155)-1,MATCH(DA155,$1:$1,0)-1)</f>
        <v>36</v>
      </c>
      <c r="DC155" s="9">
        <f ca="1">BB155</f>
        <v>8.9935760171306209E-2</v>
      </c>
      <c r="DD155" s="9">
        <f ca="1">$DC155+$CA155</f>
        <v>0.10732283688497693</v>
      </c>
      <c r="DE155" s="9">
        <f ca="1">$DC155-$CA155</f>
        <v>7.2548683457635488E-2</v>
      </c>
      <c r="DF155" s="10">
        <f t="shared" ca="1" si="87"/>
        <v>0.19332773393533872</v>
      </c>
    </row>
    <row r="156" spans="1:110" s="8" customFormat="1" ht="32.4" customHeight="1">
      <c r="A156" s="206" t="s">
        <v>592</v>
      </c>
      <c r="B156" s="208" t="s">
        <v>2344</v>
      </c>
      <c r="C156" s="206" t="str">
        <f t="shared" si="88"/>
        <v>Parameter-Variation: d_Insulation = 40 cm</v>
      </c>
      <c r="D156" s="206"/>
      <c r="E156" s="206" t="s">
        <v>198</v>
      </c>
      <c r="F156" s="206" t="str">
        <f t="shared" si="94"/>
        <v>40 cm</v>
      </c>
      <c r="G156" s="206" t="s">
        <v>2170</v>
      </c>
      <c r="H156" s="206" t="s">
        <v>2171</v>
      </c>
      <c r="I156" s="156" t="s">
        <v>80</v>
      </c>
      <c r="J156" s="156" t="s">
        <v>134</v>
      </c>
      <c r="K156" s="156" t="s">
        <v>155</v>
      </c>
      <c r="L156" s="156" t="s">
        <v>66</v>
      </c>
      <c r="M156" s="156" t="s">
        <v>188</v>
      </c>
      <c r="N156" s="7">
        <v>1960</v>
      </c>
      <c r="O156" s="156">
        <v>1</v>
      </c>
      <c r="P156" s="156">
        <v>0</v>
      </c>
      <c r="Q156" s="156" t="s">
        <v>435</v>
      </c>
      <c r="R156" s="156" t="s">
        <v>58</v>
      </c>
      <c r="S156" s="19">
        <f t="shared" si="95"/>
        <v>40</v>
      </c>
      <c r="T156" s="19">
        <v>1</v>
      </c>
      <c r="U156" s="19">
        <v>2016</v>
      </c>
      <c r="V156" s="19" t="e">
        <v>#N/A</v>
      </c>
      <c r="W156" s="28" t="s">
        <v>59</v>
      </c>
      <c r="X156" s="19" t="e">
        <v>#N/A</v>
      </c>
      <c r="Y156" s="105">
        <f ca="1">IFERROR(OFFSET(Tab.Const.ConstrBorder!$A$1,MATCH(Q156,Tab.Const.ConstrBorder!$A:$A,0)-1,MATCH(Y$87,Tab.Const.ConstrBorder!$1:$1,0)-1),0)</f>
        <v>0</v>
      </c>
      <c r="Z156" s="18">
        <f t="shared" si="27"/>
        <v>1960</v>
      </c>
      <c r="AA156" s="17">
        <f>MATCH(Z156,Tab.Year.Period!$11:$11,1)-3</f>
        <v>5</v>
      </c>
      <c r="AB156" s="17">
        <f>MATCH(AB$88&amp;"."&amp;TEXT(AA156,"00"),Tab.U.Default!$A:$A,0)</f>
        <v>28</v>
      </c>
      <c r="AC156" s="105">
        <f ca="1">OFFSET(Tab.U.Default!$A$1,$AB156-1,MATCH("U_Class_"&amp;IF($J156="TopCeiling","UpperCeiling",$J156)&amp;"_"&amp;AC$87,Tab.U.Default!$1:$1,0)-1)</f>
        <v>1.2</v>
      </c>
      <c r="AD156" s="105">
        <f ca="1">OFFSET(Tab.U.Default!$A$1,$AB156-1,MATCH("U_Class_"&amp;IF($J156="TopCeiling","UpperCeiling",$J156)&amp;"_"&amp;AD$87,Tab.U.Default!$1:$1,0)-1)</f>
        <v>1.2</v>
      </c>
      <c r="AE156" s="105">
        <f ca="1">OFFSET(Tab.U.Default!$A$1,$AB156-1,MATCH("U_Class_"&amp;IF($J156="TopCeiling","UpperCeiling",$J156)&amp;"_"&amp;AE$87,Tab.U.Default!$1:$1,0)-1)</f>
        <v>0.8</v>
      </c>
      <c r="AF156" s="26">
        <f t="shared" ref="AF156:AF216" ca="1" si="96">IF(AND(NOT(M156="Manual"),ISNA(IF(X156="",#N/A,X156))),IF(IFERROR(IF(O156="",#N/A,O156),0)=1,IF(IFERROR(IF(P156="",#N/A,P156),0)=1,AVERAGE(AD156:AE156),AD156),IF(IFERROR(IF(P156="",#N/A,P156),0)=1,AE156,AC156)),X156)</f>
        <v>1.2</v>
      </c>
      <c r="AG156" s="26">
        <f t="shared" ref="AG156:AG185" ca="1" si="97">1/(1/AF156+Y156)</f>
        <v>1.2</v>
      </c>
      <c r="AH156" s="18" t="str">
        <f t="shared" si="59"/>
        <v>Refurbish</v>
      </c>
      <c r="AI156" s="18" t="str">
        <f t="shared" si="28"/>
        <v>Add</v>
      </c>
      <c r="AJ156" s="18">
        <f t="shared" ref="AJ156:AJ216" si="98">IFERROR(IF(U156="",#N/A,U156),IF(OR(Z156&gt;=AJ$88,R156="Original"),Z156,AJ$88))</f>
        <v>2016</v>
      </c>
      <c r="AK156" s="17">
        <f>MATCH(AJ156,Tab.Year.Period!$11:$11,1)-3</f>
        <v>12</v>
      </c>
      <c r="AL156" s="17">
        <f>MATCH(AL$88&amp;"."&amp;TEXT(AK156,"00"),Tab.Insulation.Default!$A:$A,0)</f>
        <v>23</v>
      </c>
      <c r="AM156" s="20" t="e">
        <f ca="1">IF(ISNA(IF(S156="",#N/A,S156)),OFFSET(Tab.Insulation.Default!$A$1,$AL156-1,MATCH(AM$87&amp;"_"&amp;$K156,Tab.Insulation.Default!$1:$1,0)-1),#N/A)</f>
        <v>#N/A</v>
      </c>
      <c r="AN156" s="27">
        <f t="shared" si="29"/>
        <v>40</v>
      </c>
      <c r="AO156" s="22">
        <f ca="1">IF(ISNA(IF(V156="",#N/A,V156)),OFFSET(Tab.Insulation.Default!$A$1,$AL156-1,MATCH(AO$87&amp;"_"&amp;$K156,Tab.Insulation.Default!$1:$1,0)-1),#N/A)</f>
        <v>3.5000000000000003E-2</v>
      </c>
      <c r="AP156" s="23">
        <f t="shared" ca="1" si="30"/>
        <v>3.5000000000000003E-2</v>
      </c>
      <c r="AQ156" s="29" t="str">
        <f t="shared" si="60"/>
        <v>Gen.Refurbished.12</v>
      </c>
      <c r="AR156" s="17">
        <f>MATCH(AR$88&amp;"."&amp;AQ156,Tab.Measure.f.Default!$A:$A,0)</f>
        <v>23</v>
      </c>
      <c r="AS156" s="21">
        <f ca="1">OFFSET(Tab.Measure.f.Default!$A$1,AR156-1,MATCH(AS$87&amp;"_"&amp;$J156,Tab.Measure.f.Default!$1:$1,0)-1)</f>
        <v>0.75</v>
      </c>
      <c r="AT156" s="29" t="str">
        <f t="shared" si="61"/>
        <v>MUH.NA.05</v>
      </c>
      <c r="AU156" s="17">
        <f>MATCH(AU$88&amp;"."&amp;AT156,Tab.Measure.f.Default!$A:$A,0)</f>
        <v>40</v>
      </c>
      <c r="AV156" s="21">
        <f ca="1">OFFSET(Tab.Measure.f.Default!$A$1,AU156-1,MATCH(AV$87&amp;"_"&amp;$J156,Tab.Measure.f.Default!$1:$1,0)-1)</f>
        <v>0.37</v>
      </c>
      <c r="AW156" s="30">
        <f t="shared" si="33"/>
        <v>1</v>
      </c>
      <c r="AX156" s="9">
        <f t="shared" ca="1" si="62"/>
        <v>0.83333333333333337</v>
      </c>
      <c r="AY156" s="9">
        <f t="shared" ca="1" si="63"/>
        <v>11.428571428571429</v>
      </c>
      <c r="AZ156" s="9">
        <f t="shared" ca="1" si="89"/>
        <v>12.261904761904763</v>
      </c>
      <c r="BA156" s="9">
        <f t="shared" ca="1" si="90"/>
        <v>8.1553398058252416E-2</v>
      </c>
      <c r="BB156" s="9">
        <f t="shared" ca="1" si="64"/>
        <v>8.1553398058252416E-2</v>
      </c>
      <c r="BC156" s="32" t="str">
        <f t="shared" si="65"/>
        <v>D</v>
      </c>
      <c r="BD156" s="20" t="str">
        <f ca="1">OFFSET(Tab.Uncertainty.Levels!$A$1,MATCH(BD$88,Tab.Uncertainty.Levels!$A:$A,0)-1,MATCH(BD$87&amp;"_"&amp;BC156,Tab.Uncertainty.Levels!$1:$1,0)-1)</f>
        <v>Use of default values; building constructed until 1983</v>
      </c>
      <c r="BE156" s="24">
        <f ca="1">OFFSET(Tab.Uncertainty.Levels!$A$1,MATCH(BE$88,Tab.Uncertainty.Levels!$A:$A,0)-1,MATCH(BE$87&amp;"_"&amp;BC156,Tab.Uncertainty.Levels!$1:$1,0)-1)</f>
        <v>0.3</v>
      </c>
      <c r="BF156" s="32" t="str">
        <f t="shared" si="66"/>
        <v>-</v>
      </c>
      <c r="BG156" s="20" t="e">
        <f ca="1">OFFSET(Tab.Uncertainty.Levels!$A$1,MATCH(BG$88,Tab.Uncertainty.Levels!$A:$A,0)-1,MATCH(BG$87&amp;"_"&amp;BF156,Tab.Uncertainty.Levels!$1:$1,0)-1)</f>
        <v>#N/A</v>
      </c>
      <c r="BH156" s="24" t="e">
        <f ca="1">OFFSET(Tab.Uncertainty.Levels!$A$1,MATCH(BH$88,Tab.Uncertainty.Levels!$A:$A,0)-1,MATCH(BH$87&amp;"_"&amp;BF156,Tab.Uncertainty.Levels!$1:$1,0)-1)</f>
        <v>#N/A</v>
      </c>
      <c r="BI156" s="32" t="str">
        <f t="shared" si="31"/>
        <v>D</v>
      </c>
      <c r="BJ156" s="13">
        <f ca="1">IF(BF156="-",BE156,BH156)</f>
        <v>0.3</v>
      </c>
      <c r="BK156" s="32" t="str">
        <f>IF(OR($L156="NoDataSource",IFERROR(IF($S156="",#N/A,$S156),0)=0),IF(IFERROR(IF(U156="",#N/A,U156),0)=0,"E","D"),IF($L156="DesignDataPlusQA","A",IF($L156="DesignData","B","C")))</f>
        <v>C</v>
      </c>
      <c r="BL156" s="20" t="str">
        <f ca="1">OFFSET(Tab.Uncertainty.Levels!$A$1,MATCH(BL$88,Tab.Uncertainty.Levels!$A:$A,0)-1,MATCH(BL$87&amp;"_"&amp;BK156,Tab.Uncertainty.Levels!$1:$1,0)-1)</f>
        <v>Insulation thickness determined by inspection onsite / record or statement of owner</v>
      </c>
      <c r="BM156" s="24">
        <f ca="1">OFFSET(Tab.Uncertainty.Levels!$A$1,MATCH(BM$88,Tab.Uncertainty.Levels!$A:$A,0)-1,MATCH(BM$87&amp;"_"&amp;BK156,Tab.Uncertainty.Levels!$1:$1,0)-1)</f>
        <v>0.25</v>
      </c>
      <c r="BN156" s="34">
        <f ca="1">OFFSET(Tab.Uncertainty.Levels!$A$1,MATCH(BN$88,Tab.Uncertainty.Levels!$A:$A,0)-1,MATCH(BN$87&amp;"_"&amp;BK156,Tab.Uncertainty.Levels!$1:$1,0)-1)</f>
        <v>2</v>
      </c>
      <c r="BO156" s="13">
        <f ca="1">IFERROR(MIN(BM156,BN156/AN156),0)</f>
        <v>0.05</v>
      </c>
      <c r="BP156" s="32" t="str">
        <f>IF(OR($L156="NoDataSource",IFERROR(IF($V156="",#N/A,$V156),0)=0),IF(IFERROR(IF(U156="",#N/A,U156),0)=0,"E","D"),IF($L156="DesignDataPlusQA","A",IF($L156="DesignData","B","C")))</f>
        <v>D</v>
      </c>
      <c r="BQ156" s="20" t="str">
        <f ca="1">OFFSET(Tab.Uncertainty.Levels!$A$1,MATCH(BQ$88,Tab.Uncertainty.Levels!$A:$A,0)-1,MATCH(BQ$87&amp;"_"&amp;BP156,Tab.Uncertainty.Levels!$1:$1,0)-1)</f>
        <v>Insulation available; no information about material</v>
      </c>
      <c r="BR156" s="97">
        <f ca="1">OFFSET(Tab.Uncertainty.Levels!$A$1,MATCH(BR$88,Tab.Uncertainty.Levels!$A:$A,0)-1,MATCH(BR$87&amp;"_"&amp;BP156,Tab.Uncertainty.Levels!$1:$1,0)-1)</f>
        <v>0.2</v>
      </c>
      <c r="BS156" s="32" t="str">
        <f>IF(L156="NoDataSource","D",IF(IFERROR(IF($T156="",#N/A,$T156),0)=0,IF(OR(IFERROR(IF($S156="",#N/A,$S156),0)&gt;0,$R156="Refurbish"),"D","E"),IF($L156="DesignDataPlusQA","A",IF($L156="DesignData","B","C"))))</f>
        <v>C</v>
      </c>
      <c r="BT156" s="20" t="str">
        <f ca="1">OFFSET(Tab.Uncertainty.Levels!$A$1,MATCH(BT$88,Tab.Uncertainty.Levels!$A:$A,0)-1,MATCH(BT$87&amp;"_"&amp;BS156,Tab.Uncertainty.Levels!$1:$1,0)-1)</f>
        <v>Insulation fraction determined by inspection onsite / record or statement of owner</v>
      </c>
      <c r="BU156" s="33">
        <f ca="1">OFFSET(Tab.Uncertainty.Levels!$A$1,MATCH(BU$88,Tab.Uncertainty.Levels!$A:$A,0)-1,MATCH(BU$87&amp;"_"&amp;BS156,Tab.Uncertainty.Levels!$1:$1,0)-1)</f>
        <v>0.2</v>
      </c>
      <c r="BV156" s="13">
        <f ca="1">IFERROR(MIN(BU156/AW156,1,(1-AW156)/AW156),0)</f>
        <v>0</v>
      </c>
      <c r="BW156" s="96">
        <f ca="1">ABS(1+(AW156*(1/(1+AN156/100/AP156*AG156)^2-1)))*BJ156*$AG156</f>
        <v>1.6627391837119364E-3</v>
      </c>
      <c r="BX156" s="96">
        <f ca="1">ABS(-AG156+1/(1/AG156+AN156/100/AP156))*BV156*AW156</f>
        <v>0</v>
      </c>
      <c r="BY156" s="96">
        <f ca="1">ABS(-AW156*AP156/((AP156/AG156+AN156/100)^2))*(BO156*AN156/100)</f>
        <v>3.8005467056272976E-3</v>
      </c>
      <c r="BZ156" s="202">
        <f ca="1">ABS(AW156*AN156/100/(1/AG156*AP156+AN156/100)^2)*(BR156*AP156)</f>
        <v>1.5202186822509189E-2</v>
      </c>
      <c r="CA156" s="103">
        <f t="shared" ca="1" si="32"/>
        <v>1.5758024655431198E-2</v>
      </c>
      <c r="CB156" s="37">
        <f t="shared" ca="1" si="67"/>
        <v>2.0388349514563031E-2</v>
      </c>
      <c r="CC156" s="37">
        <f t="shared" ca="1" si="68"/>
        <v>0</v>
      </c>
      <c r="CD156" s="37">
        <f t="shared" ca="1" si="69"/>
        <v>4.6601941747572824E-2</v>
      </c>
      <c r="CE156" s="37">
        <f t="shared" ca="1" si="70"/>
        <v>0.18640776699029127</v>
      </c>
      <c r="CF156" s="13">
        <f t="shared" ca="1" si="71"/>
        <v>0.19322339756064449</v>
      </c>
      <c r="CG156" s="101">
        <f ca="1">AG156</f>
        <v>1.2</v>
      </c>
      <c r="CH156" s="101">
        <f>AW156</f>
        <v>1</v>
      </c>
      <c r="CI156" s="203">
        <f>IF(CH156&gt;0,AN156,0)</f>
        <v>40</v>
      </c>
      <c r="CJ156" s="102">
        <f ca="1">IF(AND(CH156&gt;0,CI156&gt;0),AP156,0)</f>
        <v>3.5000000000000003E-2</v>
      </c>
      <c r="CK156" s="102">
        <f ca="1">BB156</f>
        <v>8.1553398058252416E-2</v>
      </c>
      <c r="CL156" s="37">
        <f t="shared" ref="CL156:CL185" ca="1" si="99">BJ156</f>
        <v>0.3</v>
      </c>
      <c r="CM156" s="37">
        <f t="shared" ref="CM156:CM185" ca="1" si="100">BV156</f>
        <v>0</v>
      </c>
      <c r="CN156" s="37">
        <f t="shared" ref="CN156:CN185" ca="1" si="101">BO156</f>
        <v>0.05</v>
      </c>
      <c r="CO156" s="37">
        <f t="shared" ref="CO156:CO185" ca="1" si="102">BR156</f>
        <v>0.2</v>
      </c>
      <c r="CP156" s="37">
        <f t="shared" ref="CP156:CP185" ca="1" si="103">CF156</f>
        <v>0.19322339756064449</v>
      </c>
      <c r="CQ156" s="95">
        <f t="shared" ref="CQ156:CQ185" ca="1" si="104">CG156*CL156</f>
        <v>0.36</v>
      </c>
      <c r="CR156" s="95">
        <f t="shared" ref="CR156:CR185" ca="1" si="105">CH156*CM156</f>
        <v>0</v>
      </c>
      <c r="CS156" s="95">
        <f t="shared" ref="CS156:CS185" ca="1" si="106">CI156*CN156</f>
        <v>2</v>
      </c>
      <c r="CT156" s="103">
        <f t="shared" ref="CT156:CT185" ca="1" si="107">CJ156*CO156</f>
        <v>7.000000000000001E-3</v>
      </c>
      <c r="CU156" s="95">
        <f t="shared" ref="CU156:CU185" ca="1" si="108">CK156*CP156</f>
        <v>1.5758024655431198E-2</v>
      </c>
      <c r="CV156" s="37">
        <f ca="1">$CB156^2/$CF156^2</f>
        <v>1.1133833219722708E-2</v>
      </c>
      <c r="CW156" s="37">
        <f ca="1">$CD156^2/$CF156^2</f>
        <v>5.8168598045898676E-2</v>
      </c>
      <c r="CX156" s="37">
        <f ca="1">$CE156^2/$CF156^2</f>
        <v>0.9306975687343787</v>
      </c>
      <c r="CY156" s="37">
        <f ca="1">$CC156^2/$CF156^2</f>
        <v>0</v>
      </c>
      <c r="DA156" s="98" t="s">
        <v>214</v>
      </c>
      <c r="DB156" s="36">
        <f ca="1">OFFSET($A$1,ROW(DB156)-1,MATCH(DA156,$1:$1,0)-1)</f>
        <v>40</v>
      </c>
      <c r="DC156" s="9">
        <f ca="1">BB156</f>
        <v>8.1553398058252416E-2</v>
      </c>
      <c r="DD156" s="9">
        <f ca="1">$DC156+$CA156</f>
        <v>9.7311422713683621E-2</v>
      </c>
      <c r="DE156" s="9">
        <f ca="1">$DC156-$CA156</f>
        <v>6.5795373402821211E-2</v>
      </c>
      <c r="DF156" s="10">
        <f t="shared" ca="1" si="87"/>
        <v>0.19322339756064455</v>
      </c>
    </row>
    <row r="157" spans="1:110" s="8" customFormat="1" ht="32.4" customHeight="1">
      <c r="A157" s="206" t="s">
        <v>593</v>
      </c>
      <c r="B157" s="208" t="s">
        <v>2344</v>
      </c>
      <c r="C157" s="206" t="str">
        <f t="shared" ref="C157" si="109">E157&amp;" = "&amp;F157</f>
        <v>Parameter-Variation: Lambda_Insulation_Effective = NA</v>
      </c>
      <c r="D157" s="206"/>
      <c r="E157" s="206" t="s">
        <v>200</v>
      </c>
      <c r="F157" s="206" t="str">
        <f>IFERROR(TEXT(V157,"0,000")&amp;" W/(m·K)","NA")</f>
        <v>NA</v>
      </c>
      <c r="G157" s="206" t="s">
        <v>2170</v>
      </c>
      <c r="H157" s="206" t="s">
        <v>2171</v>
      </c>
      <c r="I157" s="156" t="s">
        <v>80</v>
      </c>
      <c r="J157" s="156" t="s">
        <v>134</v>
      </c>
      <c r="K157" s="156" t="s">
        <v>155</v>
      </c>
      <c r="L157" s="156" t="s">
        <v>66</v>
      </c>
      <c r="M157" s="156" t="s">
        <v>188</v>
      </c>
      <c r="N157" s="7">
        <v>1960</v>
      </c>
      <c r="O157" s="156">
        <v>1</v>
      </c>
      <c r="P157" s="156">
        <v>0</v>
      </c>
      <c r="Q157" s="156" t="s">
        <v>435</v>
      </c>
      <c r="R157" s="156" t="s">
        <v>58</v>
      </c>
      <c r="S157" s="19">
        <v>12</v>
      </c>
      <c r="T157" s="19">
        <v>1</v>
      </c>
      <c r="U157" s="19">
        <v>2016</v>
      </c>
      <c r="V157" s="19" t="e">
        <v>#N/A</v>
      </c>
      <c r="W157" s="28" t="s">
        <v>59</v>
      </c>
      <c r="X157" s="19" t="e">
        <v>#N/A</v>
      </c>
      <c r="Y157" s="105">
        <f ca="1">IFERROR(OFFSET(Tab.Const.ConstrBorder!$A$1,MATCH(Q157,Tab.Const.ConstrBorder!$A:$A,0)-1,MATCH(Y$87,Tab.Const.ConstrBorder!$1:$1,0)-1),0)</f>
        <v>0</v>
      </c>
      <c r="Z157" s="18">
        <f t="shared" ref="Z157:Z216" si="110">IFERROR(IF(OR(N157="",N157=0),#N/A,N157),Z$88)</f>
        <v>1960</v>
      </c>
      <c r="AA157" s="17">
        <f>MATCH(Z157,Tab.Year.Period!$11:$11,1)-3</f>
        <v>5</v>
      </c>
      <c r="AB157" s="17">
        <f>MATCH(AB$88&amp;"."&amp;TEXT(AA157,"00"),Tab.U.Default!$A:$A,0)</f>
        <v>28</v>
      </c>
      <c r="AC157" s="105">
        <f ca="1">OFFSET(Tab.U.Default!$A$1,$AB157-1,MATCH("U_Class_"&amp;IF($J157="TopCeiling","UpperCeiling",$J157)&amp;"_"&amp;AC$87,Tab.U.Default!$1:$1,0)-1)</f>
        <v>1.2</v>
      </c>
      <c r="AD157" s="105">
        <f ca="1">OFFSET(Tab.U.Default!$A$1,$AB157-1,MATCH("U_Class_"&amp;IF($J157="TopCeiling","UpperCeiling",$J157)&amp;"_"&amp;AD$87,Tab.U.Default!$1:$1,0)-1)</f>
        <v>1.2</v>
      </c>
      <c r="AE157" s="105">
        <f ca="1">OFFSET(Tab.U.Default!$A$1,$AB157-1,MATCH("U_Class_"&amp;IF($J157="TopCeiling","UpperCeiling",$J157)&amp;"_"&amp;AE$87,Tab.U.Default!$1:$1,0)-1)</f>
        <v>0.8</v>
      </c>
      <c r="AF157" s="26">
        <f t="shared" ca="1" si="96"/>
        <v>1.2</v>
      </c>
      <c r="AG157" s="26">
        <f t="shared" ca="1" si="97"/>
        <v>1.2</v>
      </c>
      <c r="AH157" s="18" t="str">
        <f t="shared" si="59"/>
        <v>Refurbish</v>
      </c>
      <c r="AI157" s="18" t="str">
        <f t="shared" ref="AI157:AI216" si="111">IF(W157&lt;&gt;"_NA_",W157,IF(R157="Original","ReplaceInsulation","Add"))</f>
        <v>Add</v>
      </c>
      <c r="AJ157" s="18">
        <f t="shared" si="98"/>
        <v>2016</v>
      </c>
      <c r="AK157" s="17">
        <f>MATCH(AJ157,Tab.Year.Period!$11:$11,1)-3</f>
        <v>12</v>
      </c>
      <c r="AL157" s="17">
        <f>MATCH(AL$88&amp;"."&amp;TEXT(AK157,"00"),Tab.Insulation.Default!$A:$A,0)</f>
        <v>23</v>
      </c>
      <c r="AM157" s="20" t="e">
        <f ca="1">IF(ISNA(IF(S157="",#N/A,S157)),OFFSET(Tab.Insulation.Default!$A$1,$AL157-1,MATCH(AM$87&amp;"_"&amp;$K157,Tab.Insulation.Default!$1:$1,0)-1),#N/A)</f>
        <v>#N/A</v>
      </c>
      <c r="AN157" s="27">
        <f t="shared" ref="AN157:AN216" si="112">IFERROR(IF(S157="",#N/A,S157),IF(OR(R157="Refurbish",R157="_NA_"),AM157,0))</f>
        <v>12</v>
      </c>
      <c r="AO157" s="22">
        <f ca="1">IF(ISNA(IF(V157="",#N/A,V157)),OFFSET(Tab.Insulation.Default!$A$1,$AL157-1,MATCH(AO$87&amp;"_"&amp;$K157,Tab.Insulation.Default!$1:$1,0)-1),#N/A)</f>
        <v>3.5000000000000003E-2</v>
      </c>
      <c r="AP157" s="23">
        <f t="shared" ref="AP157:AP216" ca="1" si="113">IFERROR(IF(V157="",#N/A,V157),AO157)</f>
        <v>3.5000000000000003E-2</v>
      </c>
      <c r="AQ157" s="29" t="str">
        <f t="shared" si="60"/>
        <v>Gen.Refurbished.12</v>
      </c>
      <c r="AR157" s="17">
        <f>MATCH(AR$88&amp;"."&amp;AQ157,Tab.Measure.f.Default!$A:$A,0)</f>
        <v>23</v>
      </c>
      <c r="AS157" s="21">
        <f ca="1">OFFSET(Tab.Measure.f.Default!$A$1,AR157-1,MATCH(AS$87&amp;"_"&amp;$J157,Tab.Measure.f.Default!$1:$1,0)-1)</f>
        <v>0.75</v>
      </c>
      <c r="AT157" s="29" t="str">
        <f t="shared" si="61"/>
        <v>MUH.NA.05</v>
      </c>
      <c r="AU157" s="17">
        <f>MATCH(AU$88&amp;"."&amp;AT157,Tab.Measure.f.Default!$A:$A,0)</f>
        <v>40</v>
      </c>
      <c r="AV157" s="21">
        <f ca="1">OFFSET(Tab.Measure.f.Default!$A$1,AU157-1,MATCH(AV$87&amp;"_"&amp;$J157,Tab.Measure.f.Default!$1:$1,0)-1)</f>
        <v>0.37</v>
      </c>
      <c r="AW157" s="30">
        <f t="shared" ref="AW157:AW216" si="114">IFERROR(IF(T157="",#N/A,T157),IF(R157="None",0,IF(R157="Refurbish",AS157,IF(R157="_NA_",IF(IFERROR(IF(S157="",#N/A,S157),0)&gt;=1,AS157,AV157),IF(IFERROR(IF(S157="",#N/A,S157),0)&gt;=1,1,0)))))</f>
        <v>1</v>
      </c>
      <c r="AX157" s="9">
        <f t="shared" ca="1" si="62"/>
        <v>0.83333333333333337</v>
      </c>
      <c r="AY157" s="9">
        <f t="shared" ca="1" si="63"/>
        <v>3.4285714285714279</v>
      </c>
      <c r="AZ157" s="9">
        <f t="shared" ref="AZ157" ca="1" si="115">AX157+AY157</f>
        <v>4.261904761904761</v>
      </c>
      <c r="BA157" s="9">
        <f t="shared" ref="BA157" ca="1" si="116">1/AZ157</f>
        <v>0.23463687150837995</v>
      </c>
      <c r="BB157" s="9">
        <f t="shared" ca="1" si="64"/>
        <v>0.23463687150837995</v>
      </c>
      <c r="BC157" s="32" t="str">
        <f t="shared" si="65"/>
        <v>D</v>
      </c>
      <c r="BD157" s="20" t="str">
        <f ca="1">OFFSET(Tab.Uncertainty.Levels!$A$1,MATCH(BD$88,Tab.Uncertainty.Levels!$A:$A,0)-1,MATCH(BD$87&amp;"_"&amp;BC157,Tab.Uncertainty.Levels!$1:$1,0)-1)</f>
        <v>Use of default values; building constructed until 1983</v>
      </c>
      <c r="BE157" s="24">
        <f ca="1">OFFSET(Tab.Uncertainty.Levels!$A$1,MATCH(BE$88,Tab.Uncertainty.Levels!$A:$A,0)-1,MATCH(BE$87&amp;"_"&amp;BC157,Tab.Uncertainty.Levels!$1:$1,0)-1)</f>
        <v>0.3</v>
      </c>
      <c r="BF157" s="32" t="str">
        <f t="shared" si="66"/>
        <v>-</v>
      </c>
      <c r="BG157" s="20" t="e">
        <f ca="1">OFFSET(Tab.Uncertainty.Levels!$A$1,MATCH(BG$88,Tab.Uncertainty.Levels!$A:$A,0)-1,MATCH(BG$87&amp;"_"&amp;BF157,Tab.Uncertainty.Levels!$1:$1,0)-1)</f>
        <v>#N/A</v>
      </c>
      <c r="BH157" s="24" t="e">
        <f ca="1">OFFSET(Tab.Uncertainty.Levels!$A$1,MATCH(BH$88,Tab.Uncertainty.Levels!$A:$A,0)-1,MATCH(BH$87&amp;"_"&amp;BF157,Tab.Uncertainty.Levels!$1:$1,0)-1)</f>
        <v>#N/A</v>
      </c>
      <c r="BI157" s="32" t="str">
        <f t="shared" si="31"/>
        <v>D</v>
      </c>
      <c r="BJ157" s="13">
        <f ca="1">IF(BF157="-",BE157,BH157)</f>
        <v>0.3</v>
      </c>
      <c r="BK157" s="32" t="str">
        <f>IF(OR($L157="NoDataSource",IFERROR(IF($S157="",#N/A,$S157),0)=0),IF(IFERROR(IF(U157="",#N/A,U157),0)=0,"E","D"),IF($L157="DesignDataPlusQA","A",IF($L157="DesignData","B","C")))</f>
        <v>C</v>
      </c>
      <c r="BL157" s="20" t="str">
        <f ca="1">OFFSET(Tab.Uncertainty.Levels!$A$1,MATCH(BL$88,Tab.Uncertainty.Levels!$A:$A,0)-1,MATCH(BL$87&amp;"_"&amp;BK157,Tab.Uncertainty.Levels!$1:$1,0)-1)</f>
        <v>Insulation thickness determined by inspection onsite / record or statement of owner</v>
      </c>
      <c r="BM157" s="24">
        <f ca="1">OFFSET(Tab.Uncertainty.Levels!$A$1,MATCH(BM$88,Tab.Uncertainty.Levels!$A:$A,0)-1,MATCH(BM$87&amp;"_"&amp;BK157,Tab.Uncertainty.Levels!$1:$1,0)-1)</f>
        <v>0.25</v>
      </c>
      <c r="BN157" s="34">
        <f ca="1">OFFSET(Tab.Uncertainty.Levels!$A$1,MATCH(BN$88,Tab.Uncertainty.Levels!$A:$A,0)-1,MATCH(BN$87&amp;"_"&amp;BK157,Tab.Uncertainty.Levels!$1:$1,0)-1)</f>
        <v>2</v>
      </c>
      <c r="BO157" s="13">
        <f ca="1">IFERROR(MIN(BM157,BN157/AN157),0)</f>
        <v>0.16666666666666666</v>
      </c>
      <c r="BP157" s="32" t="str">
        <f>IF(OR($L157="NoDataSource",IFERROR(IF($V157="",#N/A,$V157),0)=0),IF(IFERROR(IF(U157="",#N/A,U157),0)=0,"E","D"),IF($L157="DesignDataPlusQA","A",IF($L157="DesignData","B","C")))</f>
        <v>D</v>
      </c>
      <c r="BQ157" s="20" t="str">
        <f ca="1">OFFSET(Tab.Uncertainty.Levels!$A$1,MATCH(BQ$88,Tab.Uncertainty.Levels!$A:$A,0)-1,MATCH(BQ$87&amp;"_"&amp;BP157,Tab.Uncertainty.Levels!$1:$1,0)-1)</f>
        <v>Insulation available; no information about material</v>
      </c>
      <c r="BR157" s="97">
        <f ca="1">OFFSET(Tab.Uncertainty.Levels!$A$1,MATCH(BR$88,Tab.Uncertainty.Levels!$A:$A,0)-1,MATCH(BR$87&amp;"_"&amp;BP157,Tab.Uncertainty.Levels!$1:$1,0)-1)</f>
        <v>0.2</v>
      </c>
      <c r="BS157" s="32" t="str">
        <f>IF(L157="NoDataSource","D",IF(IFERROR(IF($T157="",#N/A,$T157),0)=0,IF(OR(IFERROR(IF($S157="",#N/A,$S157),0)&gt;0,$R157="Refurbish"),"D","E"),IF($L157="DesignDataPlusQA","A",IF($L157="DesignData","B","C"))))</f>
        <v>C</v>
      </c>
      <c r="BT157" s="20" t="str">
        <f ca="1">OFFSET(Tab.Uncertainty.Levels!$A$1,MATCH(BT$88,Tab.Uncertainty.Levels!$A:$A,0)-1,MATCH(BT$87&amp;"_"&amp;BS157,Tab.Uncertainty.Levels!$1:$1,0)-1)</f>
        <v>Insulation fraction determined by inspection onsite / record or statement of owner</v>
      </c>
      <c r="BU157" s="33">
        <f ca="1">OFFSET(Tab.Uncertainty.Levels!$A$1,MATCH(BU$88,Tab.Uncertainty.Levels!$A:$A,0)-1,MATCH(BU$87&amp;"_"&amp;BS157,Tab.Uncertainty.Levels!$1:$1,0)-1)</f>
        <v>0.2</v>
      </c>
      <c r="BV157" s="13">
        <f ca="1">IFERROR(MIN(BU157/AW157,1,(1-AW157)/AW157),0)</f>
        <v>0</v>
      </c>
      <c r="BW157" s="96">
        <f ca="1">ABS(1+(AW157*(1/(1+AN157/100/AP157*AG157)^2-1)))*BJ157*$AG157</f>
        <v>1.3763615367809984E-2</v>
      </c>
      <c r="BX157" s="96">
        <f ca="1">ABS(-AG157+1/(1/AG157+AN157/100/AP157))*BV157*AW157</f>
        <v>0</v>
      </c>
      <c r="BY157" s="96">
        <f ca="1">ABS(-AW157*AP157/((AP157/AG157+AN157/100)^2))*(BO157*AN157/100)</f>
        <v>3.1459692269279985E-2</v>
      </c>
      <c r="BZ157" s="202">
        <f ca="1">ABS(AW157*AN157/100/(1/AG157*AP157+AN157/100)^2)*(BR157*AP157)</f>
        <v>3.775163072313599E-2</v>
      </c>
      <c r="CA157" s="103">
        <f t="shared" ref="CA157:CA216" ca="1" si="117">SQRT(BW157^2+BX157^2+BY157^2+BZ157^2)</f>
        <v>5.1032685290182747E-2</v>
      </c>
      <c r="CB157" s="37">
        <f t="shared" ca="1" si="67"/>
        <v>5.8659217877094917E-2</v>
      </c>
      <c r="CC157" s="37">
        <f t="shared" ca="1" si="68"/>
        <v>0</v>
      </c>
      <c r="CD157" s="37">
        <f t="shared" ca="1" si="69"/>
        <v>0.13407821229050276</v>
      </c>
      <c r="CE157" s="37">
        <f t="shared" ca="1" si="70"/>
        <v>0.16089385474860335</v>
      </c>
      <c r="CF157" s="13">
        <f t="shared" ca="1" si="71"/>
        <v>0.2174964444510169</v>
      </c>
      <c r="CG157" s="101">
        <f ca="1">AG157</f>
        <v>1.2</v>
      </c>
      <c r="CH157" s="101">
        <f>AW157</f>
        <v>1</v>
      </c>
      <c r="CI157" s="203">
        <f>IF(CH157&gt;0,AN157,0)</f>
        <v>12</v>
      </c>
      <c r="CJ157" s="102">
        <f ca="1">IF(AND(CH157&gt;0,CI157&gt;0),AP157,0)</f>
        <v>3.5000000000000003E-2</v>
      </c>
      <c r="CK157" s="102">
        <f ca="1">BB157</f>
        <v>0.23463687150837995</v>
      </c>
      <c r="CL157" s="37">
        <f t="shared" ca="1" si="99"/>
        <v>0.3</v>
      </c>
      <c r="CM157" s="37">
        <f t="shared" ca="1" si="100"/>
        <v>0</v>
      </c>
      <c r="CN157" s="37">
        <f t="shared" ca="1" si="101"/>
        <v>0.16666666666666666</v>
      </c>
      <c r="CO157" s="37">
        <f t="shared" ca="1" si="102"/>
        <v>0.2</v>
      </c>
      <c r="CP157" s="37">
        <f t="shared" ca="1" si="103"/>
        <v>0.2174964444510169</v>
      </c>
      <c r="CQ157" s="95">
        <f t="shared" ca="1" si="104"/>
        <v>0.36</v>
      </c>
      <c r="CR157" s="95">
        <f t="shared" ca="1" si="105"/>
        <v>0</v>
      </c>
      <c r="CS157" s="95">
        <f t="shared" ca="1" si="106"/>
        <v>2</v>
      </c>
      <c r="CT157" s="103">
        <f t="shared" ca="1" si="107"/>
        <v>7.000000000000001E-3</v>
      </c>
      <c r="CU157" s="95">
        <f t="shared" ca="1" si="108"/>
        <v>5.1032685290182747E-2</v>
      </c>
      <c r="CV157" s="37">
        <f ca="1">$CB157^2/$CF157^2</f>
        <v>7.2739148506620652E-2</v>
      </c>
      <c r="CW157" s="37">
        <f ca="1">$CD157^2/$CF157^2</f>
        <v>0.38002493913663088</v>
      </c>
      <c r="CX157" s="37">
        <f ca="1">$CE157^2/$CF157^2</f>
        <v>0.54723591235674873</v>
      </c>
      <c r="CY157" s="37">
        <f ca="1">$CC157^2/$CF157^2</f>
        <v>0</v>
      </c>
      <c r="DA157" s="98" t="s">
        <v>214</v>
      </c>
      <c r="DB157" s="36">
        <f ca="1">OFFSET($A$1,ROW(DB157)-1,MATCH(DA157,$1:$1,0)-1)</f>
        <v>12</v>
      </c>
      <c r="DC157" s="9">
        <f ca="1">BB157</f>
        <v>0.23463687150837995</v>
      </c>
      <c r="DD157" s="9">
        <f ca="1">$DC157+$CA157</f>
        <v>0.28566955679856271</v>
      </c>
      <c r="DE157" s="9">
        <f ca="1">$DC157-$CA157</f>
        <v>0.18360418621819719</v>
      </c>
      <c r="DF157" s="10">
        <f t="shared" ca="1" si="87"/>
        <v>0.21749644445101696</v>
      </c>
    </row>
    <row r="158" spans="1:110" s="8" customFormat="1" ht="32.4" customHeight="1">
      <c r="A158" s="206" t="s">
        <v>594</v>
      </c>
      <c r="B158" s="208" t="s">
        <v>2344</v>
      </c>
      <c r="C158" s="206" t="str">
        <f t="shared" si="88"/>
        <v>Parameter-Variation: Lambda_Insulation_Effective = 0,020 W/(m·K)</v>
      </c>
      <c r="D158" s="206"/>
      <c r="E158" s="206" t="s">
        <v>200</v>
      </c>
      <c r="F158" s="206" t="str">
        <f>IFERROR(TEXT(V158,"0,000")&amp;" W/(m·K)","NA")</f>
        <v>0,020 W/(m·K)</v>
      </c>
      <c r="G158" s="206" t="s">
        <v>2170</v>
      </c>
      <c r="H158" s="206" t="s">
        <v>2171</v>
      </c>
      <c r="I158" s="156" t="s">
        <v>80</v>
      </c>
      <c r="J158" s="156" t="s">
        <v>134</v>
      </c>
      <c r="K158" s="156" t="s">
        <v>155</v>
      </c>
      <c r="L158" s="156" t="s">
        <v>66</v>
      </c>
      <c r="M158" s="156" t="s">
        <v>188</v>
      </c>
      <c r="N158" s="7">
        <v>1960</v>
      </c>
      <c r="O158" s="156">
        <v>1</v>
      </c>
      <c r="P158" s="156">
        <v>0</v>
      </c>
      <c r="Q158" s="156" t="s">
        <v>435</v>
      </c>
      <c r="R158" s="156" t="s">
        <v>58</v>
      </c>
      <c r="S158" s="19">
        <v>12</v>
      </c>
      <c r="T158" s="19">
        <v>1</v>
      </c>
      <c r="U158" s="19">
        <v>2016</v>
      </c>
      <c r="V158" s="19">
        <v>0.02</v>
      </c>
      <c r="W158" s="28" t="s">
        <v>59</v>
      </c>
      <c r="X158" s="19" t="e">
        <v>#N/A</v>
      </c>
      <c r="Y158" s="105">
        <f ca="1">IFERROR(OFFSET(Tab.Const.ConstrBorder!$A$1,MATCH(Q158,Tab.Const.ConstrBorder!$A:$A,0)-1,MATCH(Y$87,Tab.Const.ConstrBorder!$1:$1,0)-1),0)</f>
        <v>0</v>
      </c>
      <c r="Z158" s="18">
        <f t="shared" si="110"/>
        <v>1960</v>
      </c>
      <c r="AA158" s="17">
        <f>MATCH(Z158,Tab.Year.Period!$11:$11,1)-3</f>
        <v>5</v>
      </c>
      <c r="AB158" s="17">
        <f>MATCH(AB$88&amp;"."&amp;TEXT(AA158,"00"),Tab.U.Default!$A:$A,0)</f>
        <v>28</v>
      </c>
      <c r="AC158" s="105">
        <f ca="1">OFFSET(Tab.U.Default!$A$1,$AB158-1,MATCH("U_Class_"&amp;IF($J158="TopCeiling","UpperCeiling",$J158)&amp;"_"&amp;AC$87,Tab.U.Default!$1:$1,0)-1)</f>
        <v>1.2</v>
      </c>
      <c r="AD158" s="105">
        <f ca="1">OFFSET(Tab.U.Default!$A$1,$AB158-1,MATCH("U_Class_"&amp;IF($J158="TopCeiling","UpperCeiling",$J158)&amp;"_"&amp;AD$87,Tab.U.Default!$1:$1,0)-1)</f>
        <v>1.2</v>
      </c>
      <c r="AE158" s="105">
        <f ca="1">OFFSET(Tab.U.Default!$A$1,$AB158-1,MATCH("U_Class_"&amp;IF($J158="TopCeiling","UpperCeiling",$J158)&amp;"_"&amp;AE$87,Tab.U.Default!$1:$1,0)-1)</f>
        <v>0.8</v>
      </c>
      <c r="AF158" s="26">
        <f t="shared" ca="1" si="96"/>
        <v>1.2</v>
      </c>
      <c r="AG158" s="26">
        <f t="shared" ca="1" si="97"/>
        <v>1.2</v>
      </c>
      <c r="AH158" s="18" t="str">
        <f t="shared" si="59"/>
        <v>Refurbish</v>
      </c>
      <c r="AI158" s="18" t="str">
        <f t="shared" si="111"/>
        <v>Add</v>
      </c>
      <c r="AJ158" s="18">
        <f t="shared" si="98"/>
        <v>2016</v>
      </c>
      <c r="AK158" s="17">
        <f>MATCH(AJ158,Tab.Year.Period!$11:$11,1)-3</f>
        <v>12</v>
      </c>
      <c r="AL158" s="17">
        <f>MATCH(AL$88&amp;"."&amp;TEXT(AK158,"00"),Tab.Insulation.Default!$A:$A,0)</f>
        <v>23</v>
      </c>
      <c r="AM158" s="20" t="e">
        <f ca="1">IF(ISNA(IF(S158="",#N/A,S158)),OFFSET(Tab.Insulation.Default!$A$1,$AL158-1,MATCH(AM$87&amp;"_"&amp;$K158,Tab.Insulation.Default!$1:$1,0)-1),#N/A)</f>
        <v>#N/A</v>
      </c>
      <c r="AN158" s="27">
        <f t="shared" si="112"/>
        <v>12</v>
      </c>
      <c r="AO158" s="22" t="e">
        <f ca="1">IF(ISNA(IF(V158="",#N/A,V158)),OFFSET(Tab.Insulation.Default!$A$1,$AL158-1,MATCH(AO$87&amp;"_"&amp;$K158,Tab.Insulation.Default!$1:$1,0)-1),#N/A)</f>
        <v>#N/A</v>
      </c>
      <c r="AP158" s="23">
        <f t="shared" si="113"/>
        <v>0.02</v>
      </c>
      <c r="AQ158" s="29" t="str">
        <f t="shared" si="60"/>
        <v>Gen.Refurbished.12</v>
      </c>
      <c r="AR158" s="17">
        <f>MATCH(AR$88&amp;"."&amp;AQ158,Tab.Measure.f.Default!$A:$A,0)</f>
        <v>23</v>
      </c>
      <c r="AS158" s="21">
        <f ca="1">OFFSET(Tab.Measure.f.Default!$A$1,AR158-1,MATCH(AS$87&amp;"_"&amp;$J158,Tab.Measure.f.Default!$1:$1,0)-1)</f>
        <v>0.75</v>
      </c>
      <c r="AT158" s="29" t="str">
        <f t="shared" si="61"/>
        <v>MUH.NA.05</v>
      </c>
      <c r="AU158" s="17">
        <f>MATCH(AU$88&amp;"."&amp;AT158,Tab.Measure.f.Default!$A:$A,0)</f>
        <v>40</v>
      </c>
      <c r="AV158" s="21">
        <f ca="1">OFFSET(Tab.Measure.f.Default!$A$1,AU158-1,MATCH(AV$87&amp;"_"&amp;$J158,Tab.Measure.f.Default!$1:$1,0)-1)</f>
        <v>0.37</v>
      </c>
      <c r="AW158" s="30">
        <f t="shared" si="114"/>
        <v>1</v>
      </c>
      <c r="AX158" s="9">
        <f t="shared" ca="1" si="62"/>
        <v>0.83333333333333337</v>
      </c>
      <c r="AY158" s="9">
        <f t="shared" si="63"/>
        <v>6</v>
      </c>
      <c r="AZ158" s="9">
        <f t="shared" ca="1" si="89"/>
        <v>6.833333333333333</v>
      </c>
      <c r="BA158" s="9">
        <f t="shared" ca="1" si="90"/>
        <v>0.14634146341463417</v>
      </c>
      <c r="BB158" s="9">
        <f t="shared" ca="1" si="64"/>
        <v>0.14634146341463417</v>
      </c>
      <c r="BC158" s="32" t="str">
        <f t="shared" si="65"/>
        <v>D</v>
      </c>
      <c r="BD158" s="20" t="str">
        <f ca="1">OFFSET(Tab.Uncertainty.Levels!$A$1,MATCH(BD$88,Tab.Uncertainty.Levels!$A:$A,0)-1,MATCH(BD$87&amp;"_"&amp;BC158,Tab.Uncertainty.Levels!$1:$1,0)-1)</f>
        <v>Use of default values; building constructed until 1983</v>
      </c>
      <c r="BE158" s="24">
        <f ca="1">OFFSET(Tab.Uncertainty.Levels!$A$1,MATCH(BE$88,Tab.Uncertainty.Levels!$A:$A,0)-1,MATCH(BE$87&amp;"_"&amp;BC158,Tab.Uncertainty.Levels!$1:$1,0)-1)</f>
        <v>0.3</v>
      </c>
      <c r="BF158" s="32" t="str">
        <f t="shared" si="66"/>
        <v>-</v>
      </c>
      <c r="BG158" s="20" t="e">
        <f ca="1">OFFSET(Tab.Uncertainty.Levels!$A$1,MATCH(BG$88,Tab.Uncertainty.Levels!$A:$A,0)-1,MATCH(BG$87&amp;"_"&amp;BF158,Tab.Uncertainty.Levels!$1:$1,0)-1)</f>
        <v>#N/A</v>
      </c>
      <c r="BH158" s="24" t="e">
        <f ca="1">OFFSET(Tab.Uncertainty.Levels!$A$1,MATCH(BH$88,Tab.Uncertainty.Levels!$A:$A,0)-1,MATCH(BH$87&amp;"_"&amp;BF158,Tab.Uncertainty.Levels!$1:$1,0)-1)</f>
        <v>#N/A</v>
      </c>
      <c r="BI158" s="32" t="str">
        <f t="shared" si="31"/>
        <v>D</v>
      </c>
      <c r="BJ158" s="13">
        <f ca="1">IF(BF158="-",BE158,BH158)</f>
        <v>0.3</v>
      </c>
      <c r="BK158" s="32" t="str">
        <f>IF(OR($L158="NoDataSource",IFERROR(IF($S158="",#N/A,$S158),0)=0),IF(IFERROR(IF(U158="",#N/A,U158),0)=0,"E","D"),IF($L158="DesignDataPlusQA","A",IF($L158="DesignData","B","C")))</f>
        <v>C</v>
      </c>
      <c r="BL158" s="20" t="str">
        <f ca="1">OFFSET(Tab.Uncertainty.Levels!$A$1,MATCH(BL$88,Tab.Uncertainty.Levels!$A:$A,0)-1,MATCH(BL$87&amp;"_"&amp;BK158,Tab.Uncertainty.Levels!$1:$1,0)-1)</f>
        <v>Insulation thickness determined by inspection onsite / record or statement of owner</v>
      </c>
      <c r="BM158" s="24">
        <f ca="1">OFFSET(Tab.Uncertainty.Levels!$A$1,MATCH(BM$88,Tab.Uncertainty.Levels!$A:$A,0)-1,MATCH(BM$87&amp;"_"&amp;BK158,Tab.Uncertainty.Levels!$1:$1,0)-1)</f>
        <v>0.25</v>
      </c>
      <c r="BN158" s="34">
        <f ca="1">OFFSET(Tab.Uncertainty.Levels!$A$1,MATCH(BN$88,Tab.Uncertainty.Levels!$A:$A,0)-1,MATCH(BN$87&amp;"_"&amp;BK158,Tab.Uncertainty.Levels!$1:$1,0)-1)</f>
        <v>2</v>
      </c>
      <c r="BO158" s="13">
        <f ca="1">IFERROR(MIN(BM158,BN158/AN158),0)</f>
        <v>0.16666666666666666</v>
      </c>
      <c r="BP158" s="32" t="str">
        <f>IF(OR($L158="NoDataSource",IFERROR(IF($V158="",#N/A,$V158),0)=0),IF(IFERROR(IF(U158="",#N/A,U158),0)=0,"E","D"),IF($L158="DesignDataPlusQA","A",IF($L158="DesignData","B","C")))</f>
        <v>C</v>
      </c>
      <c r="BQ158" s="20" t="str">
        <f ca="1">OFFSET(Tab.Uncertainty.Levels!$A$1,MATCH(BQ$88,Tab.Uncertainty.Levels!$A:$A,0)-1,MATCH(BQ$87&amp;"_"&amp;BP158,Tab.Uncertainty.Levels!$1:$1,0)-1)</f>
        <v>Thermal conductivity of Insulation determined by inspection onsite / record or statement of owner</v>
      </c>
      <c r="BR158" s="97">
        <f ca="1">OFFSET(Tab.Uncertainty.Levels!$A$1,MATCH(BR$88,Tab.Uncertainty.Levels!$A:$A,0)-1,MATCH(BR$87&amp;"_"&amp;BP158,Tab.Uncertainty.Levels!$1:$1,0)-1)</f>
        <v>0.15</v>
      </c>
      <c r="BS158" s="32" t="str">
        <f>IF(L158="NoDataSource","D",IF(IFERROR(IF($T158="",#N/A,$T158),0)=0,IF(OR(IFERROR(IF($S158="",#N/A,$S158),0)&gt;0,$R158="Refurbish"),"D","E"),IF($L158="DesignDataPlusQA","A",IF($L158="DesignData","B","C"))))</f>
        <v>C</v>
      </c>
      <c r="BT158" s="20" t="str">
        <f ca="1">OFFSET(Tab.Uncertainty.Levels!$A$1,MATCH(BT$88,Tab.Uncertainty.Levels!$A:$A,0)-1,MATCH(BT$87&amp;"_"&amp;BS158,Tab.Uncertainty.Levels!$1:$1,0)-1)</f>
        <v>Insulation fraction determined by inspection onsite / record or statement of owner</v>
      </c>
      <c r="BU158" s="33">
        <f ca="1">OFFSET(Tab.Uncertainty.Levels!$A$1,MATCH(BU$88,Tab.Uncertainty.Levels!$A:$A,0)-1,MATCH(BU$87&amp;"_"&amp;BS158,Tab.Uncertainty.Levels!$1:$1,0)-1)</f>
        <v>0.2</v>
      </c>
      <c r="BV158" s="13">
        <f ca="1">IFERROR(MIN(BU158/AW158,1,(1-AW158)/AW158),0)</f>
        <v>0</v>
      </c>
      <c r="BW158" s="96">
        <f ca="1">ABS(1+(AW158*(1/(1+AN158/100/AP158*AG158)^2-1)))*BJ158*$AG158</f>
        <v>5.3539559785841908E-3</v>
      </c>
      <c r="BX158" s="96">
        <f ca="1">ABS(-AG158+1/(1/AG158+AN158/100/AP158))*BV158*AW158</f>
        <v>0</v>
      </c>
      <c r="BY158" s="96">
        <f ca="1">ABS(-AW158*AP158/((AP158/AG158+AN158/100)^2))*(BO158*AN158/100)</f>
        <v>2.1415823914336711E-2</v>
      </c>
      <c r="BZ158" s="202">
        <f ca="1">ABS(AW158*AN158/100/(1/AG158*AP158+AN158/100)^2)*(BR158*AP158)</f>
        <v>1.9274241522903034E-2</v>
      </c>
      <c r="CA158" s="103">
        <f t="shared" ca="1" si="117"/>
        <v>2.9305268209550532E-2</v>
      </c>
      <c r="CB158" s="37">
        <f t="shared" ca="1" si="67"/>
        <v>3.6585365853658632E-2</v>
      </c>
      <c r="CC158" s="37">
        <f t="shared" ca="1" si="68"/>
        <v>0</v>
      </c>
      <c r="CD158" s="37">
        <f t="shared" ca="1" si="69"/>
        <v>0.14634146341463417</v>
      </c>
      <c r="CE158" s="37">
        <f t="shared" ca="1" si="70"/>
        <v>0.13170731707317071</v>
      </c>
      <c r="CF158" s="13">
        <f t="shared" ca="1" si="71"/>
        <v>0.20025266609859527</v>
      </c>
      <c r="CG158" s="101">
        <f ca="1">AG158</f>
        <v>1.2</v>
      </c>
      <c r="CH158" s="101">
        <f>AW158</f>
        <v>1</v>
      </c>
      <c r="CI158" s="203">
        <f>IF(CH158&gt;0,AN158,0)</f>
        <v>12</v>
      </c>
      <c r="CJ158" s="102">
        <f>IF(AND(CH158&gt;0,CI158&gt;0),AP158,0)</f>
        <v>0.02</v>
      </c>
      <c r="CK158" s="102">
        <f ca="1">BB158</f>
        <v>0.14634146341463417</v>
      </c>
      <c r="CL158" s="37">
        <f t="shared" ca="1" si="99"/>
        <v>0.3</v>
      </c>
      <c r="CM158" s="37">
        <f t="shared" ca="1" si="100"/>
        <v>0</v>
      </c>
      <c r="CN158" s="37">
        <f t="shared" ca="1" si="101"/>
        <v>0.16666666666666666</v>
      </c>
      <c r="CO158" s="37">
        <f t="shared" ca="1" si="102"/>
        <v>0.15</v>
      </c>
      <c r="CP158" s="37">
        <f t="shared" ca="1" si="103"/>
        <v>0.20025266609859527</v>
      </c>
      <c r="CQ158" s="95">
        <f t="shared" ca="1" si="104"/>
        <v>0.36</v>
      </c>
      <c r="CR158" s="95">
        <f t="shared" ca="1" si="105"/>
        <v>0</v>
      </c>
      <c r="CS158" s="95">
        <f t="shared" ca="1" si="106"/>
        <v>2</v>
      </c>
      <c r="CT158" s="103">
        <f t="shared" ca="1" si="107"/>
        <v>3.0000000000000001E-3</v>
      </c>
      <c r="CU158" s="95">
        <f t="shared" ca="1" si="108"/>
        <v>2.9305268209550532E-2</v>
      </c>
      <c r="CV158" s="37">
        <f ca="1">$CB158^2/$CF158^2</f>
        <v>3.3377837116155044E-2</v>
      </c>
      <c r="CW158" s="37">
        <f ca="1">$CD158^2/$CF158^2</f>
        <v>0.53404539385847805</v>
      </c>
      <c r="CX158" s="37">
        <f ca="1">$CE158^2/$CF158^2</f>
        <v>0.43257676902536696</v>
      </c>
      <c r="CY158" s="37">
        <f ca="1">$CC158^2/$CF158^2</f>
        <v>0</v>
      </c>
      <c r="DA158" s="98" t="s">
        <v>214</v>
      </c>
      <c r="DB158" s="36">
        <f ca="1">OFFSET($A$1,ROW(DB158)-1,MATCH(DA158,$1:$1,0)-1)</f>
        <v>12</v>
      </c>
      <c r="DC158" s="9">
        <f ca="1">BB158</f>
        <v>0.14634146341463417</v>
      </c>
      <c r="DD158" s="9">
        <f ca="1">$DC158+$CA158</f>
        <v>0.1756467316241847</v>
      </c>
      <c r="DE158" s="9">
        <f ca="1">$DC158-$CA158</f>
        <v>0.11703619520508363</v>
      </c>
      <c r="DF158" s="10">
        <f t="shared" ca="1" si="87"/>
        <v>0.20025266609859532</v>
      </c>
    </row>
    <row r="159" spans="1:110" s="8" customFormat="1" ht="32.4" customHeight="1">
      <c r="A159" s="206" t="s">
        <v>595</v>
      </c>
      <c r="B159" s="208" t="s">
        <v>2344</v>
      </c>
      <c r="C159" s="206" t="str">
        <f t="shared" ref="C159:C168" si="118">E159&amp;" = "&amp;F159</f>
        <v>Parameter-Variation: Lambda_Insulation_Effective = 0,025 W/(m·K)</v>
      </c>
      <c r="D159" s="206"/>
      <c r="E159" s="206" t="s">
        <v>200</v>
      </c>
      <c r="F159" s="206" t="str">
        <f t="shared" ref="F159:F167" si="119">IFERROR(TEXT(V159,"0,000")&amp;" W/(m·K)","NA")</f>
        <v>0,025 W/(m·K)</v>
      </c>
      <c r="G159" s="206" t="s">
        <v>2170</v>
      </c>
      <c r="H159" s="206" t="s">
        <v>2171</v>
      </c>
      <c r="I159" s="156" t="s">
        <v>80</v>
      </c>
      <c r="J159" s="156" t="s">
        <v>134</v>
      </c>
      <c r="K159" s="156" t="s">
        <v>155</v>
      </c>
      <c r="L159" s="156" t="s">
        <v>66</v>
      </c>
      <c r="M159" s="156" t="s">
        <v>188</v>
      </c>
      <c r="N159" s="7">
        <v>1960</v>
      </c>
      <c r="O159" s="156">
        <v>1</v>
      </c>
      <c r="P159" s="156">
        <v>0</v>
      </c>
      <c r="Q159" s="156" t="s">
        <v>435</v>
      </c>
      <c r="R159" s="156" t="s">
        <v>58</v>
      </c>
      <c r="S159" s="19">
        <v>12</v>
      </c>
      <c r="T159" s="19">
        <v>1</v>
      </c>
      <c r="U159" s="19">
        <v>2016</v>
      </c>
      <c r="V159" s="19">
        <f>V158+0.005</f>
        <v>2.5000000000000001E-2</v>
      </c>
      <c r="W159" s="28" t="s">
        <v>59</v>
      </c>
      <c r="X159" s="19" t="e">
        <v>#N/A</v>
      </c>
      <c r="Y159" s="105">
        <f ca="1">IFERROR(OFFSET(Tab.Const.ConstrBorder!$A$1,MATCH(Q159,Tab.Const.ConstrBorder!$A:$A,0)-1,MATCH(Y$87,Tab.Const.ConstrBorder!$1:$1,0)-1),0)</f>
        <v>0</v>
      </c>
      <c r="Z159" s="18">
        <f t="shared" si="110"/>
        <v>1960</v>
      </c>
      <c r="AA159" s="17">
        <f>MATCH(Z159,Tab.Year.Period!$11:$11,1)-3</f>
        <v>5</v>
      </c>
      <c r="AB159" s="17">
        <f>MATCH(AB$88&amp;"."&amp;TEXT(AA159,"00"),Tab.U.Default!$A:$A,0)</f>
        <v>28</v>
      </c>
      <c r="AC159" s="105">
        <f ca="1">OFFSET(Tab.U.Default!$A$1,$AB159-1,MATCH("U_Class_"&amp;IF($J159="TopCeiling","UpperCeiling",$J159)&amp;"_"&amp;AC$87,Tab.U.Default!$1:$1,0)-1)</f>
        <v>1.2</v>
      </c>
      <c r="AD159" s="105">
        <f ca="1">OFFSET(Tab.U.Default!$A$1,$AB159-1,MATCH("U_Class_"&amp;IF($J159="TopCeiling","UpperCeiling",$J159)&amp;"_"&amp;AD$87,Tab.U.Default!$1:$1,0)-1)</f>
        <v>1.2</v>
      </c>
      <c r="AE159" s="105">
        <f ca="1">OFFSET(Tab.U.Default!$A$1,$AB159-1,MATCH("U_Class_"&amp;IF($J159="TopCeiling","UpperCeiling",$J159)&amp;"_"&amp;AE$87,Tab.U.Default!$1:$1,0)-1)</f>
        <v>0.8</v>
      </c>
      <c r="AF159" s="26">
        <f t="shared" ca="1" si="96"/>
        <v>1.2</v>
      </c>
      <c r="AG159" s="26">
        <f t="shared" ca="1" si="97"/>
        <v>1.2</v>
      </c>
      <c r="AH159" s="18" t="str">
        <f t="shared" si="59"/>
        <v>Refurbish</v>
      </c>
      <c r="AI159" s="18" t="str">
        <f t="shared" si="111"/>
        <v>Add</v>
      </c>
      <c r="AJ159" s="18">
        <f t="shared" si="98"/>
        <v>2016</v>
      </c>
      <c r="AK159" s="17">
        <f>MATCH(AJ159,Tab.Year.Period!$11:$11,1)-3</f>
        <v>12</v>
      </c>
      <c r="AL159" s="17">
        <f>MATCH(AL$88&amp;"."&amp;TEXT(AK159,"00"),Tab.Insulation.Default!$A:$A,0)</f>
        <v>23</v>
      </c>
      <c r="AM159" s="20" t="e">
        <f ca="1">IF(ISNA(IF(S159="",#N/A,S159)),OFFSET(Tab.Insulation.Default!$A$1,$AL159-1,MATCH(AM$87&amp;"_"&amp;$K159,Tab.Insulation.Default!$1:$1,0)-1),#N/A)</f>
        <v>#N/A</v>
      </c>
      <c r="AN159" s="27">
        <f t="shared" si="112"/>
        <v>12</v>
      </c>
      <c r="AO159" s="22" t="e">
        <f ca="1">IF(ISNA(IF(V159="",#N/A,V159)),OFFSET(Tab.Insulation.Default!$A$1,$AL159-1,MATCH(AO$87&amp;"_"&amp;$K159,Tab.Insulation.Default!$1:$1,0)-1),#N/A)</f>
        <v>#N/A</v>
      </c>
      <c r="AP159" s="23">
        <f t="shared" si="113"/>
        <v>2.5000000000000001E-2</v>
      </c>
      <c r="AQ159" s="29" t="str">
        <f t="shared" si="60"/>
        <v>Gen.Refurbished.12</v>
      </c>
      <c r="AR159" s="17">
        <f>MATCH(AR$88&amp;"."&amp;AQ159,Tab.Measure.f.Default!$A:$A,0)</f>
        <v>23</v>
      </c>
      <c r="AS159" s="21">
        <f ca="1">OFFSET(Tab.Measure.f.Default!$A$1,AR159-1,MATCH(AS$87&amp;"_"&amp;$J159,Tab.Measure.f.Default!$1:$1,0)-1)</f>
        <v>0.75</v>
      </c>
      <c r="AT159" s="29" t="str">
        <f t="shared" si="61"/>
        <v>MUH.NA.05</v>
      </c>
      <c r="AU159" s="17">
        <f>MATCH(AU$88&amp;"."&amp;AT159,Tab.Measure.f.Default!$A:$A,0)</f>
        <v>40</v>
      </c>
      <c r="AV159" s="21">
        <f ca="1">OFFSET(Tab.Measure.f.Default!$A$1,AU159-1,MATCH(AV$87&amp;"_"&amp;$J159,Tab.Measure.f.Default!$1:$1,0)-1)</f>
        <v>0.37</v>
      </c>
      <c r="AW159" s="30">
        <f t="shared" si="114"/>
        <v>1</v>
      </c>
      <c r="AX159" s="9">
        <f t="shared" ca="1" si="62"/>
        <v>0.83333333333333337</v>
      </c>
      <c r="AY159" s="9">
        <f t="shared" si="63"/>
        <v>4.8</v>
      </c>
      <c r="AZ159" s="9">
        <f t="shared" ref="AZ159:AZ168" ca="1" si="120">AX159+AY159</f>
        <v>5.6333333333333329</v>
      </c>
      <c r="BA159" s="9">
        <f t="shared" ref="BA159:BA168" ca="1" si="121">1/AZ159</f>
        <v>0.1775147928994083</v>
      </c>
      <c r="BB159" s="9">
        <f t="shared" ca="1" si="64"/>
        <v>0.1775147928994083</v>
      </c>
      <c r="BC159" s="32" t="str">
        <f t="shared" si="65"/>
        <v>D</v>
      </c>
      <c r="BD159" s="20" t="str">
        <f ca="1">OFFSET(Tab.Uncertainty.Levels!$A$1,MATCH(BD$88,Tab.Uncertainty.Levels!$A:$A,0)-1,MATCH(BD$87&amp;"_"&amp;BC159,Tab.Uncertainty.Levels!$1:$1,0)-1)</f>
        <v>Use of default values; building constructed until 1983</v>
      </c>
      <c r="BE159" s="24">
        <f ca="1">OFFSET(Tab.Uncertainty.Levels!$A$1,MATCH(BE$88,Tab.Uncertainty.Levels!$A:$A,0)-1,MATCH(BE$87&amp;"_"&amp;BC159,Tab.Uncertainty.Levels!$1:$1,0)-1)</f>
        <v>0.3</v>
      </c>
      <c r="BF159" s="32" t="str">
        <f t="shared" si="66"/>
        <v>-</v>
      </c>
      <c r="BG159" s="20" t="e">
        <f ca="1">OFFSET(Tab.Uncertainty.Levels!$A$1,MATCH(BG$88,Tab.Uncertainty.Levels!$A:$A,0)-1,MATCH(BG$87&amp;"_"&amp;BF159,Tab.Uncertainty.Levels!$1:$1,0)-1)</f>
        <v>#N/A</v>
      </c>
      <c r="BH159" s="24" t="e">
        <f ca="1">OFFSET(Tab.Uncertainty.Levels!$A$1,MATCH(BH$88,Tab.Uncertainty.Levels!$A:$A,0)-1,MATCH(BH$87&amp;"_"&amp;BF159,Tab.Uncertainty.Levels!$1:$1,0)-1)</f>
        <v>#N/A</v>
      </c>
      <c r="BI159" s="32" t="str">
        <f t="shared" si="31"/>
        <v>D</v>
      </c>
      <c r="BJ159" s="13">
        <f ca="1">IF(BF159="-",BE159,BH159)</f>
        <v>0.3</v>
      </c>
      <c r="BK159" s="32" t="str">
        <f>IF(OR($L159="NoDataSource",IFERROR(IF($S159="",#N/A,$S159),0)=0),IF(IFERROR(IF(U159="",#N/A,U159),0)=0,"E","D"),IF($L159="DesignDataPlusQA","A",IF($L159="DesignData","B","C")))</f>
        <v>C</v>
      </c>
      <c r="BL159" s="20" t="str">
        <f ca="1">OFFSET(Tab.Uncertainty.Levels!$A$1,MATCH(BL$88,Tab.Uncertainty.Levels!$A:$A,0)-1,MATCH(BL$87&amp;"_"&amp;BK159,Tab.Uncertainty.Levels!$1:$1,0)-1)</f>
        <v>Insulation thickness determined by inspection onsite / record or statement of owner</v>
      </c>
      <c r="BM159" s="24">
        <f ca="1">OFFSET(Tab.Uncertainty.Levels!$A$1,MATCH(BM$88,Tab.Uncertainty.Levels!$A:$A,0)-1,MATCH(BM$87&amp;"_"&amp;BK159,Tab.Uncertainty.Levels!$1:$1,0)-1)</f>
        <v>0.25</v>
      </c>
      <c r="BN159" s="34">
        <f ca="1">OFFSET(Tab.Uncertainty.Levels!$A$1,MATCH(BN$88,Tab.Uncertainty.Levels!$A:$A,0)-1,MATCH(BN$87&amp;"_"&amp;BK159,Tab.Uncertainty.Levels!$1:$1,0)-1)</f>
        <v>2</v>
      </c>
      <c r="BO159" s="13">
        <f ca="1">IFERROR(MIN(BM159,BN159/AN159),0)</f>
        <v>0.16666666666666666</v>
      </c>
      <c r="BP159" s="32" t="str">
        <f>IF(OR($L159="NoDataSource",IFERROR(IF($V159="",#N/A,$V159),0)=0),IF(IFERROR(IF(U159="",#N/A,U159),0)=0,"E","D"),IF($L159="DesignDataPlusQA","A",IF($L159="DesignData","B","C")))</f>
        <v>C</v>
      </c>
      <c r="BQ159" s="20" t="str">
        <f ca="1">OFFSET(Tab.Uncertainty.Levels!$A$1,MATCH(BQ$88,Tab.Uncertainty.Levels!$A:$A,0)-1,MATCH(BQ$87&amp;"_"&amp;BP159,Tab.Uncertainty.Levels!$1:$1,0)-1)</f>
        <v>Thermal conductivity of Insulation determined by inspection onsite / record or statement of owner</v>
      </c>
      <c r="BR159" s="97">
        <f ca="1">OFFSET(Tab.Uncertainty.Levels!$A$1,MATCH(BR$88,Tab.Uncertainty.Levels!$A:$A,0)-1,MATCH(BR$87&amp;"_"&amp;BP159,Tab.Uncertainty.Levels!$1:$1,0)-1)</f>
        <v>0.15</v>
      </c>
      <c r="BS159" s="32" t="str">
        <f>IF(L159="NoDataSource","D",IF(IFERROR(IF($T159="",#N/A,$T159),0)=0,IF(OR(IFERROR(IF($S159="",#N/A,$S159),0)&gt;0,$R159="Refurbish"),"D","E"),IF($L159="DesignDataPlusQA","A",IF($L159="DesignData","B","C"))))</f>
        <v>C</v>
      </c>
      <c r="BT159" s="20" t="str">
        <f ca="1">OFFSET(Tab.Uncertainty.Levels!$A$1,MATCH(BT$88,Tab.Uncertainty.Levels!$A:$A,0)-1,MATCH(BT$87&amp;"_"&amp;BS159,Tab.Uncertainty.Levels!$1:$1,0)-1)</f>
        <v>Insulation fraction determined by inspection onsite / record or statement of owner</v>
      </c>
      <c r="BU159" s="33">
        <f ca="1">OFFSET(Tab.Uncertainty.Levels!$A$1,MATCH(BU$88,Tab.Uncertainty.Levels!$A:$A,0)-1,MATCH(BU$87&amp;"_"&amp;BS159,Tab.Uncertainty.Levels!$1:$1,0)-1)</f>
        <v>0.2</v>
      </c>
      <c r="BV159" s="13">
        <f ca="1">IFERROR(MIN(BU159/AW159,1,(1-AW159)/AW159),0)</f>
        <v>0</v>
      </c>
      <c r="BW159" s="96">
        <f ca="1">ABS(1+(AW159*(1/(1+AN159/100/AP159*AG159)^2-1)))*BJ159*$AG159</f>
        <v>7.8778754245299506E-3</v>
      </c>
      <c r="BX159" s="96">
        <f ca="1">ABS(-AG159+1/(1/AG159+AN159/100/AP159))*BV159*AW159</f>
        <v>0</v>
      </c>
      <c r="BY159" s="96">
        <f ca="1">ABS(-AW159*AP159/((AP159/AG159+AN159/100)^2))*(BO159*AN159/100)</f>
        <v>2.5209201358495848E-2</v>
      </c>
      <c r="BZ159" s="202">
        <f ca="1">ABS(AW159*AN159/100/(1/AG159*AP159+AN159/100)^2)*(BR159*AP159)</f>
        <v>2.268828122264626E-2</v>
      </c>
      <c r="CA159" s="103">
        <f t="shared" ca="1" si="117"/>
        <v>3.4818427006047883E-2</v>
      </c>
      <c r="CB159" s="37">
        <f t="shared" ca="1" si="67"/>
        <v>4.4378698224852048E-2</v>
      </c>
      <c r="CC159" s="37">
        <f t="shared" ca="1" si="68"/>
        <v>0</v>
      </c>
      <c r="CD159" s="37">
        <f t="shared" ca="1" si="69"/>
        <v>0.1420118343195266</v>
      </c>
      <c r="CE159" s="37">
        <f t="shared" ca="1" si="70"/>
        <v>0.12781065088757393</v>
      </c>
      <c r="CF159" s="13">
        <f t="shared" ca="1" si="71"/>
        <v>0.19614380546740309</v>
      </c>
      <c r="CG159" s="101">
        <f ca="1">AG159</f>
        <v>1.2</v>
      </c>
      <c r="CH159" s="101">
        <f>AW159</f>
        <v>1</v>
      </c>
      <c r="CI159" s="203">
        <f>IF(CH159&gt;0,AN159,0)</f>
        <v>12</v>
      </c>
      <c r="CJ159" s="102">
        <f>IF(AND(CH159&gt;0,CI159&gt;0),AP159,0)</f>
        <v>2.5000000000000001E-2</v>
      </c>
      <c r="CK159" s="102">
        <f ca="1">BB159</f>
        <v>0.1775147928994083</v>
      </c>
      <c r="CL159" s="37">
        <f t="shared" ca="1" si="99"/>
        <v>0.3</v>
      </c>
      <c r="CM159" s="37">
        <f t="shared" ca="1" si="100"/>
        <v>0</v>
      </c>
      <c r="CN159" s="37">
        <f t="shared" ca="1" si="101"/>
        <v>0.16666666666666666</v>
      </c>
      <c r="CO159" s="37">
        <f t="shared" ca="1" si="102"/>
        <v>0.15</v>
      </c>
      <c r="CP159" s="37">
        <f t="shared" ca="1" si="103"/>
        <v>0.19614380546740309</v>
      </c>
      <c r="CQ159" s="95">
        <f t="shared" ca="1" si="104"/>
        <v>0.36</v>
      </c>
      <c r="CR159" s="95">
        <f t="shared" ca="1" si="105"/>
        <v>0</v>
      </c>
      <c r="CS159" s="95">
        <f t="shared" ca="1" si="106"/>
        <v>2</v>
      </c>
      <c r="CT159" s="103">
        <f t="shared" ca="1" si="107"/>
        <v>3.7499999999999999E-3</v>
      </c>
      <c r="CU159" s="95">
        <f t="shared" ca="1" si="108"/>
        <v>3.481842700604789E-2</v>
      </c>
      <c r="CV159" s="37">
        <f ca="1">$CB159^2/$CF159^2</f>
        <v>5.1191743795560615E-2</v>
      </c>
      <c r="CW159" s="37">
        <f ca="1">$CD159^2/$CF159^2</f>
        <v>0.52420345646654098</v>
      </c>
      <c r="CX159" s="37">
        <f ca="1">$CE159^2/$CF159^2</f>
        <v>0.42460479973789822</v>
      </c>
      <c r="CY159" s="37">
        <f ca="1">$CC159^2/$CF159^2</f>
        <v>0</v>
      </c>
      <c r="DA159" s="98" t="s">
        <v>214</v>
      </c>
      <c r="DB159" s="36">
        <f ca="1">OFFSET($A$1,ROW(DB159)-1,MATCH(DA159,$1:$1,0)-1)</f>
        <v>12</v>
      </c>
      <c r="DC159" s="9">
        <f ca="1">BB159</f>
        <v>0.1775147928994083</v>
      </c>
      <c r="DD159" s="9">
        <f ca="1">$DC159+$CA159</f>
        <v>0.21233321990545617</v>
      </c>
      <c r="DE159" s="9">
        <f ca="1">$DC159-$CA159</f>
        <v>0.14269636589336043</v>
      </c>
      <c r="DF159" s="10">
        <f t="shared" ca="1" si="87"/>
        <v>0.19614380546740298</v>
      </c>
    </row>
    <row r="160" spans="1:110" s="8" customFormat="1" ht="32.4" customHeight="1">
      <c r="A160" s="206" t="s">
        <v>596</v>
      </c>
      <c r="B160" s="208" t="s">
        <v>2344</v>
      </c>
      <c r="C160" s="206" t="str">
        <f t="shared" si="118"/>
        <v>Parameter-Variation: Lambda_Insulation_Effective = 0,030 W/(m·K)</v>
      </c>
      <c r="D160" s="206"/>
      <c r="E160" s="206" t="s">
        <v>200</v>
      </c>
      <c r="F160" s="206" t="str">
        <f t="shared" si="119"/>
        <v>0,030 W/(m·K)</v>
      </c>
      <c r="G160" s="206" t="s">
        <v>2170</v>
      </c>
      <c r="H160" s="206" t="s">
        <v>2171</v>
      </c>
      <c r="I160" s="156" t="s">
        <v>80</v>
      </c>
      <c r="J160" s="156" t="s">
        <v>134</v>
      </c>
      <c r="K160" s="156" t="s">
        <v>155</v>
      </c>
      <c r="L160" s="156" t="s">
        <v>66</v>
      </c>
      <c r="M160" s="156" t="s">
        <v>188</v>
      </c>
      <c r="N160" s="7">
        <v>1960</v>
      </c>
      <c r="O160" s="156">
        <v>1</v>
      </c>
      <c r="P160" s="156">
        <v>0</v>
      </c>
      <c r="Q160" s="156" t="s">
        <v>435</v>
      </c>
      <c r="R160" s="156" t="s">
        <v>58</v>
      </c>
      <c r="S160" s="19">
        <v>12</v>
      </c>
      <c r="T160" s="19">
        <v>1</v>
      </c>
      <c r="U160" s="19">
        <v>2016</v>
      </c>
      <c r="V160" s="19">
        <f t="shared" ref="V160:V164" si="122">V159+0.005</f>
        <v>3.0000000000000002E-2</v>
      </c>
      <c r="W160" s="28" t="s">
        <v>59</v>
      </c>
      <c r="X160" s="19" t="e">
        <v>#N/A</v>
      </c>
      <c r="Y160" s="105">
        <f ca="1">IFERROR(OFFSET(Tab.Const.ConstrBorder!$A$1,MATCH(Q160,Tab.Const.ConstrBorder!$A:$A,0)-1,MATCH(Y$87,Tab.Const.ConstrBorder!$1:$1,0)-1),0)</f>
        <v>0</v>
      </c>
      <c r="Z160" s="18">
        <f t="shared" si="110"/>
        <v>1960</v>
      </c>
      <c r="AA160" s="17">
        <f>MATCH(Z160,Tab.Year.Period!$11:$11,1)-3</f>
        <v>5</v>
      </c>
      <c r="AB160" s="17">
        <f>MATCH(AB$88&amp;"."&amp;TEXT(AA160,"00"),Tab.U.Default!$A:$A,0)</f>
        <v>28</v>
      </c>
      <c r="AC160" s="105">
        <f ca="1">OFFSET(Tab.U.Default!$A$1,$AB160-1,MATCH("U_Class_"&amp;IF($J160="TopCeiling","UpperCeiling",$J160)&amp;"_"&amp;AC$87,Tab.U.Default!$1:$1,0)-1)</f>
        <v>1.2</v>
      </c>
      <c r="AD160" s="105">
        <f ca="1">OFFSET(Tab.U.Default!$A$1,$AB160-1,MATCH("U_Class_"&amp;IF($J160="TopCeiling","UpperCeiling",$J160)&amp;"_"&amp;AD$87,Tab.U.Default!$1:$1,0)-1)</f>
        <v>1.2</v>
      </c>
      <c r="AE160" s="105">
        <f ca="1">OFFSET(Tab.U.Default!$A$1,$AB160-1,MATCH("U_Class_"&amp;IF($J160="TopCeiling","UpperCeiling",$J160)&amp;"_"&amp;AE$87,Tab.U.Default!$1:$1,0)-1)</f>
        <v>0.8</v>
      </c>
      <c r="AF160" s="26">
        <f t="shared" ca="1" si="96"/>
        <v>1.2</v>
      </c>
      <c r="AG160" s="26">
        <f t="shared" ca="1" si="97"/>
        <v>1.2</v>
      </c>
      <c r="AH160" s="18" t="str">
        <f t="shared" si="59"/>
        <v>Refurbish</v>
      </c>
      <c r="AI160" s="18" t="str">
        <f t="shared" si="111"/>
        <v>Add</v>
      </c>
      <c r="AJ160" s="18">
        <f t="shared" si="98"/>
        <v>2016</v>
      </c>
      <c r="AK160" s="17">
        <f>MATCH(AJ160,Tab.Year.Period!$11:$11,1)-3</f>
        <v>12</v>
      </c>
      <c r="AL160" s="17">
        <f>MATCH(AL$88&amp;"."&amp;TEXT(AK160,"00"),Tab.Insulation.Default!$A:$A,0)</f>
        <v>23</v>
      </c>
      <c r="AM160" s="20" t="e">
        <f ca="1">IF(ISNA(IF(S160="",#N/A,S160)),OFFSET(Tab.Insulation.Default!$A$1,$AL160-1,MATCH(AM$87&amp;"_"&amp;$K160,Tab.Insulation.Default!$1:$1,0)-1),#N/A)</f>
        <v>#N/A</v>
      </c>
      <c r="AN160" s="27">
        <f t="shared" si="112"/>
        <v>12</v>
      </c>
      <c r="AO160" s="22" t="e">
        <f ca="1">IF(ISNA(IF(V160="",#N/A,V160)),OFFSET(Tab.Insulation.Default!$A$1,$AL160-1,MATCH(AO$87&amp;"_"&amp;$K160,Tab.Insulation.Default!$1:$1,0)-1),#N/A)</f>
        <v>#N/A</v>
      </c>
      <c r="AP160" s="23">
        <f t="shared" si="113"/>
        <v>3.0000000000000002E-2</v>
      </c>
      <c r="AQ160" s="29" t="str">
        <f t="shared" si="60"/>
        <v>Gen.Refurbished.12</v>
      </c>
      <c r="AR160" s="17">
        <f>MATCH(AR$88&amp;"."&amp;AQ160,Tab.Measure.f.Default!$A:$A,0)</f>
        <v>23</v>
      </c>
      <c r="AS160" s="21">
        <f ca="1">OFFSET(Tab.Measure.f.Default!$A$1,AR160-1,MATCH(AS$87&amp;"_"&amp;$J160,Tab.Measure.f.Default!$1:$1,0)-1)</f>
        <v>0.75</v>
      </c>
      <c r="AT160" s="29" t="str">
        <f t="shared" si="61"/>
        <v>MUH.NA.05</v>
      </c>
      <c r="AU160" s="17">
        <f>MATCH(AU$88&amp;"."&amp;AT160,Tab.Measure.f.Default!$A:$A,0)</f>
        <v>40</v>
      </c>
      <c r="AV160" s="21">
        <f ca="1">OFFSET(Tab.Measure.f.Default!$A$1,AU160-1,MATCH(AV$87&amp;"_"&amp;$J160,Tab.Measure.f.Default!$1:$1,0)-1)</f>
        <v>0.37</v>
      </c>
      <c r="AW160" s="30">
        <f t="shared" si="114"/>
        <v>1</v>
      </c>
      <c r="AX160" s="9">
        <f t="shared" ca="1" si="62"/>
        <v>0.83333333333333337</v>
      </c>
      <c r="AY160" s="9">
        <f t="shared" si="63"/>
        <v>3.9999999999999996</v>
      </c>
      <c r="AZ160" s="9">
        <f t="shared" ca="1" si="120"/>
        <v>4.833333333333333</v>
      </c>
      <c r="BA160" s="9">
        <f t="shared" ca="1" si="121"/>
        <v>0.20689655172413796</v>
      </c>
      <c r="BB160" s="9">
        <f t="shared" ca="1" si="64"/>
        <v>0.20689655172413796</v>
      </c>
      <c r="BC160" s="32" t="str">
        <f t="shared" si="65"/>
        <v>D</v>
      </c>
      <c r="BD160" s="20" t="str">
        <f ca="1">OFFSET(Tab.Uncertainty.Levels!$A$1,MATCH(BD$88,Tab.Uncertainty.Levels!$A:$A,0)-1,MATCH(BD$87&amp;"_"&amp;BC160,Tab.Uncertainty.Levels!$1:$1,0)-1)</f>
        <v>Use of default values; building constructed until 1983</v>
      </c>
      <c r="BE160" s="24">
        <f ca="1">OFFSET(Tab.Uncertainty.Levels!$A$1,MATCH(BE$88,Tab.Uncertainty.Levels!$A:$A,0)-1,MATCH(BE$87&amp;"_"&amp;BC160,Tab.Uncertainty.Levels!$1:$1,0)-1)</f>
        <v>0.3</v>
      </c>
      <c r="BF160" s="32" t="str">
        <f t="shared" si="66"/>
        <v>-</v>
      </c>
      <c r="BG160" s="20" t="e">
        <f ca="1">OFFSET(Tab.Uncertainty.Levels!$A$1,MATCH(BG$88,Tab.Uncertainty.Levels!$A:$A,0)-1,MATCH(BG$87&amp;"_"&amp;BF160,Tab.Uncertainty.Levels!$1:$1,0)-1)</f>
        <v>#N/A</v>
      </c>
      <c r="BH160" s="24" t="e">
        <f ca="1">OFFSET(Tab.Uncertainty.Levels!$A$1,MATCH(BH$88,Tab.Uncertainty.Levels!$A:$A,0)-1,MATCH(BH$87&amp;"_"&amp;BF160,Tab.Uncertainty.Levels!$1:$1,0)-1)</f>
        <v>#N/A</v>
      </c>
      <c r="BI160" s="32" t="str">
        <f t="shared" si="31"/>
        <v>D</v>
      </c>
      <c r="BJ160" s="13">
        <f ca="1">IF(BF160="-",BE160,BH160)</f>
        <v>0.3</v>
      </c>
      <c r="BK160" s="32" t="str">
        <f>IF(OR($L160="NoDataSource",IFERROR(IF($S160="",#N/A,$S160),0)=0),IF(IFERROR(IF(U160="",#N/A,U160),0)=0,"E","D"),IF($L160="DesignDataPlusQA","A",IF($L160="DesignData","B","C")))</f>
        <v>C</v>
      </c>
      <c r="BL160" s="20" t="str">
        <f ca="1">OFFSET(Tab.Uncertainty.Levels!$A$1,MATCH(BL$88,Tab.Uncertainty.Levels!$A:$A,0)-1,MATCH(BL$87&amp;"_"&amp;BK160,Tab.Uncertainty.Levels!$1:$1,0)-1)</f>
        <v>Insulation thickness determined by inspection onsite / record or statement of owner</v>
      </c>
      <c r="BM160" s="24">
        <f ca="1">OFFSET(Tab.Uncertainty.Levels!$A$1,MATCH(BM$88,Tab.Uncertainty.Levels!$A:$A,0)-1,MATCH(BM$87&amp;"_"&amp;BK160,Tab.Uncertainty.Levels!$1:$1,0)-1)</f>
        <v>0.25</v>
      </c>
      <c r="BN160" s="34">
        <f ca="1">OFFSET(Tab.Uncertainty.Levels!$A$1,MATCH(BN$88,Tab.Uncertainty.Levels!$A:$A,0)-1,MATCH(BN$87&amp;"_"&amp;BK160,Tab.Uncertainty.Levels!$1:$1,0)-1)</f>
        <v>2</v>
      </c>
      <c r="BO160" s="13">
        <f ca="1">IFERROR(MIN(BM160,BN160/AN160),0)</f>
        <v>0.16666666666666666</v>
      </c>
      <c r="BP160" s="32" t="str">
        <f>IF(OR($L160="NoDataSource",IFERROR(IF($V160="",#N/A,$V160),0)=0),IF(IFERROR(IF(U160="",#N/A,U160),0)=0,"E","D"),IF($L160="DesignDataPlusQA","A",IF($L160="DesignData","B","C")))</f>
        <v>C</v>
      </c>
      <c r="BQ160" s="20" t="str">
        <f ca="1">OFFSET(Tab.Uncertainty.Levels!$A$1,MATCH(BQ$88,Tab.Uncertainty.Levels!$A:$A,0)-1,MATCH(BQ$87&amp;"_"&amp;BP160,Tab.Uncertainty.Levels!$1:$1,0)-1)</f>
        <v>Thermal conductivity of Insulation determined by inspection onsite / record or statement of owner</v>
      </c>
      <c r="BR160" s="97">
        <f ca="1">OFFSET(Tab.Uncertainty.Levels!$A$1,MATCH(BR$88,Tab.Uncertainty.Levels!$A:$A,0)-1,MATCH(BR$87&amp;"_"&amp;BP160,Tab.Uncertainty.Levels!$1:$1,0)-1)</f>
        <v>0.15</v>
      </c>
      <c r="BS160" s="32" t="str">
        <f>IF(L160="NoDataSource","D",IF(IFERROR(IF($T160="",#N/A,$T160),0)=0,IF(OR(IFERROR(IF($S160="",#N/A,$S160),0)&gt;0,$R160="Refurbish"),"D","E"),IF($L160="DesignDataPlusQA","A",IF($L160="DesignData","B","C"))))</f>
        <v>C</v>
      </c>
      <c r="BT160" s="20" t="str">
        <f ca="1">OFFSET(Tab.Uncertainty.Levels!$A$1,MATCH(BT$88,Tab.Uncertainty.Levels!$A:$A,0)-1,MATCH(BT$87&amp;"_"&amp;BS160,Tab.Uncertainty.Levels!$1:$1,0)-1)</f>
        <v>Insulation fraction determined by inspection onsite / record or statement of owner</v>
      </c>
      <c r="BU160" s="33">
        <f ca="1">OFFSET(Tab.Uncertainty.Levels!$A$1,MATCH(BU$88,Tab.Uncertainty.Levels!$A:$A,0)-1,MATCH(BU$87&amp;"_"&amp;BS160,Tab.Uncertainty.Levels!$1:$1,0)-1)</f>
        <v>0.2</v>
      </c>
      <c r="BV160" s="13">
        <f ca="1">IFERROR(MIN(BU160/AW160,1,(1-AW160)/AW160),0)</f>
        <v>0</v>
      </c>
      <c r="BW160" s="96">
        <f ca="1">ABS(1+(AW160*(1/(1+AN160/100/AP160*AG160)^2-1)))*BJ160*$AG160</f>
        <v>1.0701545778834726E-2</v>
      </c>
      <c r="BX160" s="96">
        <f ca="1">ABS(-AG160+1/(1/AG160+AN160/100/AP160))*BV160*AW160</f>
        <v>0</v>
      </c>
      <c r="BY160" s="96">
        <f ca="1">ABS(-AW160*AP160/((AP160/AG160+AN160/100)^2))*(BO160*AN160/100)</f>
        <v>2.8537455410225926E-2</v>
      </c>
      <c r="BZ160" s="202">
        <f ca="1">ABS(AW160*AN160/100/(1/AG160*AP160+AN160/100)^2)*(BR160*AP160)</f>
        <v>2.568370986920333E-2</v>
      </c>
      <c r="CA160" s="103">
        <f t="shared" ca="1" si="117"/>
        <v>3.9856773527125106E-2</v>
      </c>
      <c r="CB160" s="37">
        <f t="shared" ca="1" si="67"/>
        <v>5.1724137931034503E-2</v>
      </c>
      <c r="CC160" s="37">
        <f t="shared" ca="1" si="68"/>
        <v>0</v>
      </c>
      <c r="CD160" s="37">
        <f t="shared" ca="1" si="69"/>
        <v>0.13793103448275862</v>
      </c>
      <c r="CE160" s="37">
        <f t="shared" ca="1" si="70"/>
        <v>0.12413793103448274</v>
      </c>
      <c r="CF160" s="13">
        <f t="shared" ca="1" si="71"/>
        <v>0.19264107204777131</v>
      </c>
      <c r="CG160" s="101">
        <f ca="1">AG160</f>
        <v>1.2</v>
      </c>
      <c r="CH160" s="101">
        <f>AW160</f>
        <v>1</v>
      </c>
      <c r="CI160" s="203">
        <f>IF(CH160&gt;0,AN160,0)</f>
        <v>12</v>
      </c>
      <c r="CJ160" s="102">
        <f>IF(AND(CH160&gt;0,CI160&gt;0),AP160,0)</f>
        <v>3.0000000000000002E-2</v>
      </c>
      <c r="CK160" s="102">
        <f ca="1">BB160</f>
        <v>0.20689655172413796</v>
      </c>
      <c r="CL160" s="37">
        <f t="shared" ca="1" si="99"/>
        <v>0.3</v>
      </c>
      <c r="CM160" s="37">
        <f t="shared" ca="1" si="100"/>
        <v>0</v>
      </c>
      <c r="CN160" s="37">
        <f t="shared" ca="1" si="101"/>
        <v>0.16666666666666666</v>
      </c>
      <c r="CO160" s="37">
        <f t="shared" ca="1" si="102"/>
        <v>0.15</v>
      </c>
      <c r="CP160" s="37">
        <f t="shared" ca="1" si="103"/>
        <v>0.19264107204777131</v>
      </c>
      <c r="CQ160" s="95">
        <f t="shared" ca="1" si="104"/>
        <v>0.36</v>
      </c>
      <c r="CR160" s="95">
        <f t="shared" ca="1" si="105"/>
        <v>0</v>
      </c>
      <c r="CS160" s="95">
        <f t="shared" ca="1" si="106"/>
        <v>2</v>
      </c>
      <c r="CT160" s="103">
        <f t="shared" ca="1" si="107"/>
        <v>4.5000000000000005E-3</v>
      </c>
      <c r="CU160" s="95">
        <f t="shared" ca="1" si="108"/>
        <v>3.9856773527125106E-2</v>
      </c>
      <c r="CV160" s="37">
        <f ca="1">$CB160^2/$CF160^2</f>
        <v>7.2092278115988534E-2</v>
      </c>
      <c r="CW160" s="37">
        <f ca="1">$CD160^2/$CF160^2</f>
        <v>0.51265619993591804</v>
      </c>
      <c r="CX160" s="37">
        <f ca="1">$CE160^2/$CF160^2</f>
        <v>0.41525152194809356</v>
      </c>
      <c r="CY160" s="37">
        <f ca="1">$CC160^2/$CF160^2</f>
        <v>0</v>
      </c>
      <c r="DA160" s="98" t="s">
        <v>214</v>
      </c>
      <c r="DB160" s="36">
        <f ca="1">OFFSET($A$1,ROW(DB160)-1,MATCH(DA160,$1:$1,0)-1)</f>
        <v>12</v>
      </c>
      <c r="DC160" s="9">
        <f ca="1">BB160</f>
        <v>0.20689655172413796</v>
      </c>
      <c r="DD160" s="9">
        <f ca="1">$DC160+$CA160</f>
        <v>0.24675332525126306</v>
      </c>
      <c r="DE160" s="9">
        <f ca="1">$DC160-$CA160</f>
        <v>0.16703977819701285</v>
      </c>
      <c r="DF160" s="10">
        <f t="shared" ca="1" si="87"/>
        <v>0.19264107204777131</v>
      </c>
    </row>
    <row r="161" spans="1:110" s="8" customFormat="1" ht="32.4" customHeight="1">
      <c r="A161" s="206" t="s">
        <v>597</v>
      </c>
      <c r="B161" s="208" t="s">
        <v>2344</v>
      </c>
      <c r="C161" s="206" t="str">
        <f t="shared" si="118"/>
        <v>Parameter-Variation: Lambda_Insulation_Effective = 0,035 W/(m·K)</v>
      </c>
      <c r="D161" s="206"/>
      <c r="E161" s="206" t="s">
        <v>200</v>
      </c>
      <c r="F161" s="206" t="str">
        <f t="shared" si="119"/>
        <v>0,035 W/(m·K)</v>
      </c>
      <c r="G161" s="206" t="s">
        <v>2170</v>
      </c>
      <c r="H161" s="206" t="s">
        <v>2171</v>
      </c>
      <c r="I161" s="156" t="s">
        <v>80</v>
      </c>
      <c r="J161" s="156" t="s">
        <v>134</v>
      </c>
      <c r="K161" s="156" t="s">
        <v>155</v>
      </c>
      <c r="L161" s="156" t="s">
        <v>66</v>
      </c>
      <c r="M161" s="156" t="s">
        <v>188</v>
      </c>
      <c r="N161" s="7">
        <v>1960</v>
      </c>
      <c r="O161" s="156">
        <v>1</v>
      </c>
      <c r="P161" s="156">
        <v>0</v>
      </c>
      <c r="Q161" s="156" t="s">
        <v>435</v>
      </c>
      <c r="R161" s="156" t="s">
        <v>58</v>
      </c>
      <c r="S161" s="19">
        <v>12</v>
      </c>
      <c r="T161" s="19">
        <v>1</v>
      </c>
      <c r="U161" s="19">
        <v>2016</v>
      </c>
      <c r="V161" s="19">
        <f t="shared" si="122"/>
        <v>3.5000000000000003E-2</v>
      </c>
      <c r="W161" s="28" t="s">
        <v>59</v>
      </c>
      <c r="X161" s="19" t="e">
        <v>#N/A</v>
      </c>
      <c r="Y161" s="105">
        <f ca="1">IFERROR(OFFSET(Tab.Const.ConstrBorder!$A$1,MATCH(Q161,Tab.Const.ConstrBorder!$A:$A,0)-1,MATCH(Y$87,Tab.Const.ConstrBorder!$1:$1,0)-1),0)</f>
        <v>0</v>
      </c>
      <c r="Z161" s="18">
        <f t="shared" si="110"/>
        <v>1960</v>
      </c>
      <c r="AA161" s="17">
        <f>MATCH(Z161,Tab.Year.Period!$11:$11,1)-3</f>
        <v>5</v>
      </c>
      <c r="AB161" s="17">
        <f>MATCH(AB$88&amp;"."&amp;TEXT(AA161,"00"),Tab.U.Default!$A:$A,0)</f>
        <v>28</v>
      </c>
      <c r="AC161" s="105">
        <f ca="1">OFFSET(Tab.U.Default!$A$1,$AB161-1,MATCH("U_Class_"&amp;IF($J161="TopCeiling","UpperCeiling",$J161)&amp;"_"&amp;AC$87,Tab.U.Default!$1:$1,0)-1)</f>
        <v>1.2</v>
      </c>
      <c r="AD161" s="105">
        <f ca="1">OFFSET(Tab.U.Default!$A$1,$AB161-1,MATCH("U_Class_"&amp;IF($J161="TopCeiling","UpperCeiling",$J161)&amp;"_"&amp;AD$87,Tab.U.Default!$1:$1,0)-1)</f>
        <v>1.2</v>
      </c>
      <c r="AE161" s="105">
        <f ca="1">OFFSET(Tab.U.Default!$A$1,$AB161-1,MATCH("U_Class_"&amp;IF($J161="TopCeiling","UpperCeiling",$J161)&amp;"_"&amp;AE$87,Tab.U.Default!$1:$1,0)-1)</f>
        <v>0.8</v>
      </c>
      <c r="AF161" s="26">
        <f t="shared" ca="1" si="96"/>
        <v>1.2</v>
      </c>
      <c r="AG161" s="26">
        <f t="shared" ca="1" si="97"/>
        <v>1.2</v>
      </c>
      <c r="AH161" s="18" t="str">
        <f t="shared" si="59"/>
        <v>Refurbish</v>
      </c>
      <c r="AI161" s="18" t="str">
        <f t="shared" si="111"/>
        <v>Add</v>
      </c>
      <c r="AJ161" s="18">
        <f t="shared" si="98"/>
        <v>2016</v>
      </c>
      <c r="AK161" s="17">
        <f>MATCH(AJ161,Tab.Year.Period!$11:$11,1)-3</f>
        <v>12</v>
      </c>
      <c r="AL161" s="17">
        <f>MATCH(AL$88&amp;"."&amp;TEXT(AK161,"00"),Tab.Insulation.Default!$A:$A,0)</f>
        <v>23</v>
      </c>
      <c r="AM161" s="20" t="e">
        <f ca="1">IF(ISNA(IF(S161="",#N/A,S161)),OFFSET(Tab.Insulation.Default!$A$1,$AL161-1,MATCH(AM$87&amp;"_"&amp;$K161,Tab.Insulation.Default!$1:$1,0)-1),#N/A)</f>
        <v>#N/A</v>
      </c>
      <c r="AN161" s="27">
        <f t="shared" si="112"/>
        <v>12</v>
      </c>
      <c r="AO161" s="22" t="e">
        <f ca="1">IF(ISNA(IF(V161="",#N/A,V161)),OFFSET(Tab.Insulation.Default!$A$1,$AL161-1,MATCH(AO$87&amp;"_"&amp;$K161,Tab.Insulation.Default!$1:$1,0)-1),#N/A)</f>
        <v>#N/A</v>
      </c>
      <c r="AP161" s="23">
        <f t="shared" si="113"/>
        <v>3.5000000000000003E-2</v>
      </c>
      <c r="AQ161" s="29" t="str">
        <f t="shared" si="60"/>
        <v>Gen.Refurbished.12</v>
      </c>
      <c r="AR161" s="17">
        <f>MATCH(AR$88&amp;"."&amp;AQ161,Tab.Measure.f.Default!$A:$A,0)</f>
        <v>23</v>
      </c>
      <c r="AS161" s="21">
        <f ca="1">OFFSET(Tab.Measure.f.Default!$A$1,AR161-1,MATCH(AS$87&amp;"_"&amp;$J161,Tab.Measure.f.Default!$1:$1,0)-1)</f>
        <v>0.75</v>
      </c>
      <c r="AT161" s="29" t="str">
        <f t="shared" si="61"/>
        <v>MUH.NA.05</v>
      </c>
      <c r="AU161" s="17">
        <f>MATCH(AU$88&amp;"."&amp;AT161,Tab.Measure.f.Default!$A:$A,0)</f>
        <v>40</v>
      </c>
      <c r="AV161" s="21">
        <f ca="1">OFFSET(Tab.Measure.f.Default!$A$1,AU161-1,MATCH(AV$87&amp;"_"&amp;$J161,Tab.Measure.f.Default!$1:$1,0)-1)</f>
        <v>0.37</v>
      </c>
      <c r="AW161" s="30">
        <f t="shared" si="114"/>
        <v>1</v>
      </c>
      <c r="AX161" s="9">
        <f t="shared" ca="1" si="62"/>
        <v>0.83333333333333337</v>
      </c>
      <c r="AY161" s="9">
        <f t="shared" si="63"/>
        <v>3.4285714285714279</v>
      </c>
      <c r="AZ161" s="9">
        <f t="shared" ca="1" si="120"/>
        <v>4.261904761904761</v>
      </c>
      <c r="BA161" s="9">
        <f t="shared" ca="1" si="121"/>
        <v>0.23463687150837995</v>
      </c>
      <c r="BB161" s="9">
        <f t="shared" ca="1" si="64"/>
        <v>0.23463687150837995</v>
      </c>
      <c r="BC161" s="32" t="str">
        <f t="shared" si="65"/>
        <v>D</v>
      </c>
      <c r="BD161" s="20" t="str">
        <f ca="1">OFFSET(Tab.Uncertainty.Levels!$A$1,MATCH(BD$88,Tab.Uncertainty.Levels!$A:$A,0)-1,MATCH(BD$87&amp;"_"&amp;BC161,Tab.Uncertainty.Levels!$1:$1,0)-1)</f>
        <v>Use of default values; building constructed until 1983</v>
      </c>
      <c r="BE161" s="24">
        <f ca="1">OFFSET(Tab.Uncertainty.Levels!$A$1,MATCH(BE$88,Tab.Uncertainty.Levels!$A:$A,0)-1,MATCH(BE$87&amp;"_"&amp;BC161,Tab.Uncertainty.Levels!$1:$1,0)-1)</f>
        <v>0.3</v>
      </c>
      <c r="BF161" s="32" t="str">
        <f t="shared" si="66"/>
        <v>-</v>
      </c>
      <c r="BG161" s="20" t="e">
        <f ca="1">OFFSET(Tab.Uncertainty.Levels!$A$1,MATCH(BG$88,Tab.Uncertainty.Levels!$A:$A,0)-1,MATCH(BG$87&amp;"_"&amp;BF161,Tab.Uncertainty.Levels!$1:$1,0)-1)</f>
        <v>#N/A</v>
      </c>
      <c r="BH161" s="24" t="e">
        <f ca="1">OFFSET(Tab.Uncertainty.Levels!$A$1,MATCH(BH$88,Tab.Uncertainty.Levels!$A:$A,0)-1,MATCH(BH$87&amp;"_"&amp;BF161,Tab.Uncertainty.Levels!$1:$1,0)-1)</f>
        <v>#N/A</v>
      </c>
      <c r="BI161" s="32" t="str">
        <f t="shared" si="31"/>
        <v>D</v>
      </c>
      <c r="BJ161" s="13">
        <f ca="1">IF(BF161="-",BE161,BH161)</f>
        <v>0.3</v>
      </c>
      <c r="BK161" s="32" t="str">
        <f>IF(OR($L161="NoDataSource",IFERROR(IF($S161="",#N/A,$S161),0)=0),IF(IFERROR(IF(U161="",#N/A,U161),0)=0,"E","D"),IF($L161="DesignDataPlusQA","A",IF($L161="DesignData","B","C")))</f>
        <v>C</v>
      </c>
      <c r="BL161" s="20" t="str">
        <f ca="1">OFFSET(Tab.Uncertainty.Levels!$A$1,MATCH(BL$88,Tab.Uncertainty.Levels!$A:$A,0)-1,MATCH(BL$87&amp;"_"&amp;BK161,Tab.Uncertainty.Levels!$1:$1,0)-1)</f>
        <v>Insulation thickness determined by inspection onsite / record or statement of owner</v>
      </c>
      <c r="BM161" s="24">
        <f ca="1">OFFSET(Tab.Uncertainty.Levels!$A$1,MATCH(BM$88,Tab.Uncertainty.Levels!$A:$A,0)-1,MATCH(BM$87&amp;"_"&amp;BK161,Tab.Uncertainty.Levels!$1:$1,0)-1)</f>
        <v>0.25</v>
      </c>
      <c r="BN161" s="34">
        <f ca="1">OFFSET(Tab.Uncertainty.Levels!$A$1,MATCH(BN$88,Tab.Uncertainty.Levels!$A:$A,0)-1,MATCH(BN$87&amp;"_"&amp;BK161,Tab.Uncertainty.Levels!$1:$1,0)-1)</f>
        <v>2</v>
      </c>
      <c r="BO161" s="13">
        <f ca="1">IFERROR(MIN(BM161,BN161/AN161),0)</f>
        <v>0.16666666666666666</v>
      </c>
      <c r="BP161" s="32" t="str">
        <f>IF(OR($L161="NoDataSource",IFERROR(IF($V161="",#N/A,$V161),0)=0),IF(IFERROR(IF(U161="",#N/A,U161),0)=0,"E","D"),IF($L161="DesignDataPlusQA","A",IF($L161="DesignData","B","C")))</f>
        <v>C</v>
      </c>
      <c r="BQ161" s="20" t="str">
        <f ca="1">OFFSET(Tab.Uncertainty.Levels!$A$1,MATCH(BQ$88,Tab.Uncertainty.Levels!$A:$A,0)-1,MATCH(BQ$87&amp;"_"&amp;BP161,Tab.Uncertainty.Levels!$1:$1,0)-1)</f>
        <v>Thermal conductivity of Insulation determined by inspection onsite / record or statement of owner</v>
      </c>
      <c r="BR161" s="97">
        <f ca="1">OFFSET(Tab.Uncertainty.Levels!$A$1,MATCH(BR$88,Tab.Uncertainty.Levels!$A:$A,0)-1,MATCH(BR$87&amp;"_"&amp;BP161,Tab.Uncertainty.Levels!$1:$1,0)-1)</f>
        <v>0.15</v>
      </c>
      <c r="BS161" s="32" t="str">
        <f>IF(L161="NoDataSource","D",IF(IFERROR(IF($T161="",#N/A,$T161),0)=0,IF(OR(IFERROR(IF($S161="",#N/A,$S161),0)&gt;0,$R161="Refurbish"),"D","E"),IF($L161="DesignDataPlusQA","A",IF($L161="DesignData","B","C"))))</f>
        <v>C</v>
      </c>
      <c r="BT161" s="20" t="str">
        <f ca="1">OFFSET(Tab.Uncertainty.Levels!$A$1,MATCH(BT$88,Tab.Uncertainty.Levels!$A:$A,0)-1,MATCH(BT$87&amp;"_"&amp;BS161,Tab.Uncertainty.Levels!$1:$1,0)-1)</f>
        <v>Insulation fraction determined by inspection onsite / record or statement of owner</v>
      </c>
      <c r="BU161" s="33">
        <f ca="1">OFFSET(Tab.Uncertainty.Levels!$A$1,MATCH(BU$88,Tab.Uncertainty.Levels!$A:$A,0)-1,MATCH(BU$87&amp;"_"&amp;BS161,Tab.Uncertainty.Levels!$1:$1,0)-1)</f>
        <v>0.2</v>
      </c>
      <c r="BV161" s="13">
        <f ca="1">IFERROR(MIN(BU161/AW161,1,(1-AW161)/AW161),0)</f>
        <v>0</v>
      </c>
      <c r="BW161" s="96">
        <f ca="1">ABS(1+(AW161*(1/(1+AN161/100/AP161*AG161)^2-1)))*BJ161*$AG161</f>
        <v>1.3763615367809984E-2</v>
      </c>
      <c r="BX161" s="96">
        <f ca="1">ABS(-AG161+1/(1/AG161+AN161/100/AP161))*BV161*AW161</f>
        <v>0</v>
      </c>
      <c r="BY161" s="96">
        <f ca="1">ABS(-AW161*AP161/((AP161/AG161+AN161/100)^2))*(BO161*AN161/100)</f>
        <v>3.1459692269279985E-2</v>
      </c>
      <c r="BZ161" s="202">
        <f ca="1">ABS(AW161*AN161/100/(1/AG161*AP161+AN161/100)^2)*(BR161*AP161)</f>
        <v>2.8313723042351989E-2</v>
      </c>
      <c r="CA161" s="103">
        <f t="shared" ca="1" si="117"/>
        <v>4.4506361996795737E-2</v>
      </c>
      <c r="CB161" s="37">
        <f t="shared" ca="1" si="67"/>
        <v>5.8659217877094917E-2</v>
      </c>
      <c r="CC161" s="37">
        <f t="shared" ca="1" si="68"/>
        <v>0</v>
      </c>
      <c r="CD161" s="37">
        <f t="shared" ca="1" si="69"/>
        <v>0.13407821229050276</v>
      </c>
      <c r="CE161" s="37">
        <f t="shared" ca="1" si="70"/>
        <v>0.1206703910614525</v>
      </c>
      <c r="CF161" s="13">
        <f t="shared" ca="1" si="71"/>
        <v>0.18968187612920084</v>
      </c>
      <c r="CG161" s="101">
        <f ca="1">AG161</f>
        <v>1.2</v>
      </c>
      <c r="CH161" s="101">
        <f>AW161</f>
        <v>1</v>
      </c>
      <c r="CI161" s="203">
        <f>IF(CH161&gt;0,AN161,0)</f>
        <v>12</v>
      </c>
      <c r="CJ161" s="102">
        <f>IF(AND(CH161&gt;0,CI161&gt;0),AP161,0)</f>
        <v>3.5000000000000003E-2</v>
      </c>
      <c r="CK161" s="102">
        <f ca="1">BB161</f>
        <v>0.23463687150837995</v>
      </c>
      <c r="CL161" s="37">
        <f t="shared" ca="1" si="99"/>
        <v>0.3</v>
      </c>
      <c r="CM161" s="37">
        <f t="shared" ca="1" si="100"/>
        <v>0</v>
      </c>
      <c r="CN161" s="37">
        <f t="shared" ca="1" si="101"/>
        <v>0.16666666666666666</v>
      </c>
      <c r="CO161" s="37">
        <f t="shared" ca="1" si="102"/>
        <v>0.15</v>
      </c>
      <c r="CP161" s="37">
        <f t="shared" ca="1" si="103"/>
        <v>0.18968187612920084</v>
      </c>
      <c r="CQ161" s="95">
        <f t="shared" ca="1" si="104"/>
        <v>0.36</v>
      </c>
      <c r="CR161" s="95">
        <f t="shared" ca="1" si="105"/>
        <v>0</v>
      </c>
      <c r="CS161" s="95">
        <f t="shared" ca="1" si="106"/>
        <v>2</v>
      </c>
      <c r="CT161" s="103">
        <f t="shared" ca="1" si="107"/>
        <v>5.2500000000000003E-3</v>
      </c>
      <c r="CU161" s="95">
        <f t="shared" ca="1" si="108"/>
        <v>4.4506361996795737E-2</v>
      </c>
      <c r="CV161" s="37">
        <f ca="1">$CB161^2/$CF161^2</f>
        <v>9.5635881021156874E-2</v>
      </c>
      <c r="CW161" s="37">
        <f ca="1">$CD161^2/$CF161^2</f>
        <v>0.49964868451869782</v>
      </c>
      <c r="CX161" s="37">
        <f ca="1">$CE161^2/$CF161^2</f>
        <v>0.4047154344601453</v>
      </c>
      <c r="CY161" s="37">
        <f ca="1">$CC161^2/$CF161^2</f>
        <v>0</v>
      </c>
      <c r="DA161" s="98" t="s">
        <v>214</v>
      </c>
      <c r="DB161" s="36">
        <f ca="1">OFFSET($A$1,ROW(DB161)-1,MATCH(DA161,$1:$1,0)-1)</f>
        <v>12</v>
      </c>
      <c r="DC161" s="9">
        <f ca="1">BB161</f>
        <v>0.23463687150837995</v>
      </c>
      <c r="DD161" s="9">
        <f ca="1">$DC161+$CA161</f>
        <v>0.27914323350517567</v>
      </c>
      <c r="DE161" s="9">
        <f ca="1">$DC161-$CA161</f>
        <v>0.19013050951158422</v>
      </c>
      <c r="DF161" s="10">
        <f t="shared" ca="1" si="87"/>
        <v>0.18968187612920079</v>
      </c>
    </row>
    <row r="162" spans="1:110" s="8" customFormat="1" ht="32.4" customHeight="1">
      <c r="A162" s="206" t="s">
        <v>598</v>
      </c>
      <c r="B162" s="208" t="s">
        <v>2344</v>
      </c>
      <c r="C162" s="206" t="str">
        <f t="shared" si="118"/>
        <v>Parameter-Variation: Lambda_Insulation_Effective = 0,040 W/(m·K)</v>
      </c>
      <c r="D162" s="206"/>
      <c r="E162" s="206" t="s">
        <v>200</v>
      </c>
      <c r="F162" s="206" t="str">
        <f t="shared" si="119"/>
        <v>0,040 W/(m·K)</v>
      </c>
      <c r="G162" s="206" t="s">
        <v>2170</v>
      </c>
      <c r="H162" s="206" t="s">
        <v>2171</v>
      </c>
      <c r="I162" s="156" t="s">
        <v>80</v>
      </c>
      <c r="J162" s="156" t="s">
        <v>134</v>
      </c>
      <c r="K162" s="156" t="s">
        <v>155</v>
      </c>
      <c r="L162" s="156" t="s">
        <v>66</v>
      </c>
      <c r="M162" s="156" t="s">
        <v>188</v>
      </c>
      <c r="N162" s="7">
        <v>1960</v>
      </c>
      <c r="O162" s="156">
        <v>1</v>
      </c>
      <c r="P162" s="156">
        <v>0</v>
      </c>
      <c r="Q162" s="156" t="s">
        <v>435</v>
      </c>
      <c r="R162" s="156" t="s">
        <v>58</v>
      </c>
      <c r="S162" s="19">
        <v>12</v>
      </c>
      <c r="T162" s="19">
        <v>1</v>
      </c>
      <c r="U162" s="19">
        <v>2016</v>
      </c>
      <c r="V162" s="19">
        <f t="shared" si="122"/>
        <v>0.04</v>
      </c>
      <c r="W162" s="28" t="s">
        <v>59</v>
      </c>
      <c r="X162" s="19" t="e">
        <v>#N/A</v>
      </c>
      <c r="Y162" s="105">
        <f ca="1">IFERROR(OFFSET(Tab.Const.ConstrBorder!$A$1,MATCH(Q162,Tab.Const.ConstrBorder!$A:$A,0)-1,MATCH(Y$87,Tab.Const.ConstrBorder!$1:$1,0)-1),0)</f>
        <v>0</v>
      </c>
      <c r="Z162" s="18">
        <f t="shared" si="110"/>
        <v>1960</v>
      </c>
      <c r="AA162" s="17">
        <f>MATCH(Z162,Tab.Year.Period!$11:$11,1)-3</f>
        <v>5</v>
      </c>
      <c r="AB162" s="17">
        <f>MATCH(AB$88&amp;"."&amp;TEXT(AA162,"00"),Tab.U.Default!$A:$A,0)</f>
        <v>28</v>
      </c>
      <c r="AC162" s="105">
        <f ca="1">OFFSET(Tab.U.Default!$A$1,$AB162-1,MATCH("U_Class_"&amp;IF($J162="TopCeiling","UpperCeiling",$J162)&amp;"_"&amp;AC$87,Tab.U.Default!$1:$1,0)-1)</f>
        <v>1.2</v>
      </c>
      <c r="AD162" s="105">
        <f ca="1">OFFSET(Tab.U.Default!$A$1,$AB162-1,MATCH("U_Class_"&amp;IF($J162="TopCeiling","UpperCeiling",$J162)&amp;"_"&amp;AD$87,Tab.U.Default!$1:$1,0)-1)</f>
        <v>1.2</v>
      </c>
      <c r="AE162" s="105">
        <f ca="1">OFFSET(Tab.U.Default!$A$1,$AB162-1,MATCH("U_Class_"&amp;IF($J162="TopCeiling","UpperCeiling",$J162)&amp;"_"&amp;AE$87,Tab.U.Default!$1:$1,0)-1)</f>
        <v>0.8</v>
      </c>
      <c r="AF162" s="26">
        <f t="shared" ca="1" si="96"/>
        <v>1.2</v>
      </c>
      <c r="AG162" s="26">
        <f t="shared" ca="1" si="97"/>
        <v>1.2</v>
      </c>
      <c r="AH162" s="18" t="str">
        <f t="shared" si="59"/>
        <v>Refurbish</v>
      </c>
      <c r="AI162" s="18" t="str">
        <f t="shared" si="111"/>
        <v>Add</v>
      </c>
      <c r="AJ162" s="18">
        <f t="shared" si="98"/>
        <v>2016</v>
      </c>
      <c r="AK162" s="17">
        <f>MATCH(AJ162,Tab.Year.Period!$11:$11,1)-3</f>
        <v>12</v>
      </c>
      <c r="AL162" s="17">
        <f>MATCH(AL$88&amp;"."&amp;TEXT(AK162,"00"),Tab.Insulation.Default!$A:$A,0)</f>
        <v>23</v>
      </c>
      <c r="AM162" s="20" t="e">
        <f ca="1">IF(ISNA(IF(S162="",#N/A,S162)),OFFSET(Tab.Insulation.Default!$A$1,$AL162-1,MATCH(AM$87&amp;"_"&amp;$K162,Tab.Insulation.Default!$1:$1,0)-1),#N/A)</f>
        <v>#N/A</v>
      </c>
      <c r="AN162" s="27">
        <f t="shared" si="112"/>
        <v>12</v>
      </c>
      <c r="AO162" s="22" t="e">
        <f ca="1">IF(ISNA(IF(V162="",#N/A,V162)),OFFSET(Tab.Insulation.Default!$A$1,$AL162-1,MATCH(AO$87&amp;"_"&amp;$K162,Tab.Insulation.Default!$1:$1,0)-1),#N/A)</f>
        <v>#N/A</v>
      </c>
      <c r="AP162" s="23">
        <f t="shared" si="113"/>
        <v>0.04</v>
      </c>
      <c r="AQ162" s="29" t="str">
        <f t="shared" si="60"/>
        <v>Gen.Refurbished.12</v>
      </c>
      <c r="AR162" s="17">
        <f>MATCH(AR$88&amp;"."&amp;AQ162,Tab.Measure.f.Default!$A:$A,0)</f>
        <v>23</v>
      </c>
      <c r="AS162" s="21">
        <f ca="1">OFFSET(Tab.Measure.f.Default!$A$1,AR162-1,MATCH(AS$87&amp;"_"&amp;$J162,Tab.Measure.f.Default!$1:$1,0)-1)</f>
        <v>0.75</v>
      </c>
      <c r="AT162" s="29" t="str">
        <f t="shared" si="61"/>
        <v>MUH.NA.05</v>
      </c>
      <c r="AU162" s="17">
        <f>MATCH(AU$88&amp;"."&amp;AT162,Tab.Measure.f.Default!$A:$A,0)</f>
        <v>40</v>
      </c>
      <c r="AV162" s="21">
        <f ca="1">OFFSET(Tab.Measure.f.Default!$A$1,AU162-1,MATCH(AV$87&amp;"_"&amp;$J162,Tab.Measure.f.Default!$1:$1,0)-1)</f>
        <v>0.37</v>
      </c>
      <c r="AW162" s="30">
        <f t="shared" si="114"/>
        <v>1</v>
      </c>
      <c r="AX162" s="9">
        <f t="shared" ca="1" si="62"/>
        <v>0.83333333333333337</v>
      </c>
      <c r="AY162" s="9">
        <f t="shared" si="63"/>
        <v>3</v>
      </c>
      <c r="AZ162" s="9">
        <f t="shared" ca="1" si="120"/>
        <v>3.8333333333333335</v>
      </c>
      <c r="BA162" s="9">
        <f t="shared" ca="1" si="121"/>
        <v>0.2608695652173913</v>
      </c>
      <c r="BB162" s="9">
        <f t="shared" ca="1" si="64"/>
        <v>0.2608695652173913</v>
      </c>
      <c r="BC162" s="32" t="str">
        <f t="shared" si="65"/>
        <v>D</v>
      </c>
      <c r="BD162" s="20" t="str">
        <f ca="1">OFFSET(Tab.Uncertainty.Levels!$A$1,MATCH(BD$88,Tab.Uncertainty.Levels!$A:$A,0)-1,MATCH(BD$87&amp;"_"&amp;BC162,Tab.Uncertainty.Levels!$1:$1,0)-1)</f>
        <v>Use of default values; building constructed until 1983</v>
      </c>
      <c r="BE162" s="24">
        <f ca="1">OFFSET(Tab.Uncertainty.Levels!$A$1,MATCH(BE$88,Tab.Uncertainty.Levels!$A:$A,0)-1,MATCH(BE$87&amp;"_"&amp;BC162,Tab.Uncertainty.Levels!$1:$1,0)-1)</f>
        <v>0.3</v>
      </c>
      <c r="BF162" s="32" t="str">
        <f t="shared" si="66"/>
        <v>-</v>
      </c>
      <c r="BG162" s="20" t="e">
        <f ca="1">OFFSET(Tab.Uncertainty.Levels!$A$1,MATCH(BG$88,Tab.Uncertainty.Levels!$A:$A,0)-1,MATCH(BG$87&amp;"_"&amp;BF162,Tab.Uncertainty.Levels!$1:$1,0)-1)</f>
        <v>#N/A</v>
      </c>
      <c r="BH162" s="24" t="e">
        <f ca="1">OFFSET(Tab.Uncertainty.Levels!$A$1,MATCH(BH$88,Tab.Uncertainty.Levels!$A:$A,0)-1,MATCH(BH$87&amp;"_"&amp;BF162,Tab.Uncertainty.Levels!$1:$1,0)-1)</f>
        <v>#N/A</v>
      </c>
      <c r="BI162" s="32" t="str">
        <f t="shared" si="31"/>
        <v>D</v>
      </c>
      <c r="BJ162" s="13">
        <f ca="1">IF(BF162="-",BE162,BH162)</f>
        <v>0.3</v>
      </c>
      <c r="BK162" s="32" t="str">
        <f>IF(OR($L162="NoDataSource",IFERROR(IF($S162="",#N/A,$S162),0)=0),IF(IFERROR(IF(U162="",#N/A,U162),0)=0,"E","D"),IF($L162="DesignDataPlusQA","A",IF($L162="DesignData","B","C")))</f>
        <v>C</v>
      </c>
      <c r="BL162" s="20" t="str">
        <f ca="1">OFFSET(Tab.Uncertainty.Levels!$A$1,MATCH(BL$88,Tab.Uncertainty.Levels!$A:$A,0)-1,MATCH(BL$87&amp;"_"&amp;BK162,Tab.Uncertainty.Levels!$1:$1,0)-1)</f>
        <v>Insulation thickness determined by inspection onsite / record or statement of owner</v>
      </c>
      <c r="BM162" s="24">
        <f ca="1">OFFSET(Tab.Uncertainty.Levels!$A$1,MATCH(BM$88,Tab.Uncertainty.Levels!$A:$A,0)-1,MATCH(BM$87&amp;"_"&amp;BK162,Tab.Uncertainty.Levels!$1:$1,0)-1)</f>
        <v>0.25</v>
      </c>
      <c r="BN162" s="34">
        <f ca="1">OFFSET(Tab.Uncertainty.Levels!$A$1,MATCH(BN$88,Tab.Uncertainty.Levels!$A:$A,0)-1,MATCH(BN$87&amp;"_"&amp;BK162,Tab.Uncertainty.Levels!$1:$1,0)-1)</f>
        <v>2</v>
      </c>
      <c r="BO162" s="13">
        <f ca="1">IFERROR(MIN(BM162,BN162/AN162),0)</f>
        <v>0.16666666666666666</v>
      </c>
      <c r="BP162" s="32" t="str">
        <f>IF(OR($L162="NoDataSource",IFERROR(IF($V162="",#N/A,$V162),0)=0),IF(IFERROR(IF(U162="",#N/A,U162),0)=0,"E","D"),IF($L162="DesignDataPlusQA","A",IF($L162="DesignData","B","C")))</f>
        <v>C</v>
      </c>
      <c r="BQ162" s="20" t="str">
        <f ca="1">OFFSET(Tab.Uncertainty.Levels!$A$1,MATCH(BQ$88,Tab.Uncertainty.Levels!$A:$A,0)-1,MATCH(BQ$87&amp;"_"&amp;BP162,Tab.Uncertainty.Levels!$1:$1,0)-1)</f>
        <v>Thermal conductivity of Insulation determined by inspection onsite / record or statement of owner</v>
      </c>
      <c r="BR162" s="97">
        <f ca="1">OFFSET(Tab.Uncertainty.Levels!$A$1,MATCH(BR$88,Tab.Uncertainty.Levels!$A:$A,0)-1,MATCH(BR$87&amp;"_"&amp;BP162,Tab.Uncertainty.Levels!$1:$1,0)-1)</f>
        <v>0.15</v>
      </c>
      <c r="BS162" s="32" t="str">
        <f>IF(L162="NoDataSource","D",IF(IFERROR(IF($T162="",#N/A,$T162),0)=0,IF(OR(IFERROR(IF($S162="",#N/A,$S162),0)&gt;0,$R162="Refurbish"),"D","E"),IF($L162="DesignDataPlusQA","A",IF($L162="DesignData","B","C"))))</f>
        <v>C</v>
      </c>
      <c r="BT162" s="20" t="str">
        <f ca="1">OFFSET(Tab.Uncertainty.Levels!$A$1,MATCH(BT$88,Tab.Uncertainty.Levels!$A:$A,0)-1,MATCH(BT$87&amp;"_"&amp;BS162,Tab.Uncertainty.Levels!$1:$1,0)-1)</f>
        <v>Insulation fraction determined by inspection onsite / record or statement of owner</v>
      </c>
      <c r="BU162" s="33">
        <f ca="1">OFFSET(Tab.Uncertainty.Levels!$A$1,MATCH(BU$88,Tab.Uncertainty.Levels!$A:$A,0)-1,MATCH(BU$87&amp;"_"&amp;BS162,Tab.Uncertainty.Levels!$1:$1,0)-1)</f>
        <v>0.2</v>
      </c>
      <c r="BV162" s="13">
        <f ca="1">IFERROR(MIN(BU162/AW162,1,(1-AW162)/AW162),0)</f>
        <v>0</v>
      </c>
      <c r="BW162" s="96">
        <f ca="1">ABS(1+(AW162*(1/(1+AN162/100/AP162*AG162)^2-1)))*BJ162*$AG162</f>
        <v>1.7013232514177697E-2</v>
      </c>
      <c r="BX162" s="96">
        <f ca="1">ABS(-AG162+1/(1/AG162+AN162/100/AP162))*BV162*AW162</f>
        <v>0</v>
      </c>
      <c r="BY162" s="96">
        <f ca="1">ABS(-AW162*AP162/((AP162/AG162+AN162/100)^2))*(BO162*AN162/100)</f>
        <v>3.4026465028355393E-2</v>
      </c>
      <c r="BZ162" s="202">
        <f ca="1">ABS(AW162*AN162/100/(1/AG162*AP162+AN162/100)^2)*(BR162*AP162)</f>
        <v>3.0623818525519854E-2</v>
      </c>
      <c r="CA162" s="103">
        <f t="shared" ca="1" si="117"/>
        <v>4.8837164782482394E-2</v>
      </c>
      <c r="CB162" s="37">
        <f t="shared" ca="1" si="67"/>
        <v>6.5217391304347838E-2</v>
      </c>
      <c r="CC162" s="37">
        <f t="shared" ca="1" si="68"/>
        <v>0</v>
      </c>
      <c r="CD162" s="37">
        <f t="shared" ca="1" si="69"/>
        <v>0.13043478260869568</v>
      </c>
      <c r="CE162" s="37">
        <f t="shared" ca="1" si="70"/>
        <v>0.1173913043478261</v>
      </c>
      <c r="CF162" s="13">
        <f t="shared" ca="1" si="71"/>
        <v>0.18720913166618253</v>
      </c>
      <c r="CG162" s="101">
        <f ca="1">AG162</f>
        <v>1.2</v>
      </c>
      <c r="CH162" s="101">
        <f>AW162</f>
        <v>1</v>
      </c>
      <c r="CI162" s="203">
        <f>IF(CH162&gt;0,AN162,0)</f>
        <v>12</v>
      </c>
      <c r="CJ162" s="102">
        <f>IF(AND(CH162&gt;0,CI162&gt;0),AP162,0)</f>
        <v>0.04</v>
      </c>
      <c r="CK162" s="102">
        <f ca="1">BB162</f>
        <v>0.2608695652173913</v>
      </c>
      <c r="CL162" s="37">
        <f t="shared" ca="1" si="99"/>
        <v>0.3</v>
      </c>
      <c r="CM162" s="37">
        <f t="shared" ca="1" si="100"/>
        <v>0</v>
      </c>
      <c r="CN162" s="37">
        <f t="shared" ca="1" si="101"/>
        <v>0.16666666666666666</v>
      </c>
      <c r="CO162" s="37">
        <f t="shared" ca="1" si="102"/>
        <v>0.15</v>
      </c>
      <c r="CP162" s="37">
        <f t="shared" ca="1" si="103"/>
        <v>0.18720913166618253</v>
      </c>
      <c r="CQ162" s="95">
        <f t="shared" ca="1" si="104"/>
        <v>0.36</v>
      </c>
      <c r="CR162" s="95">
        <f t="shared" ca="1" si="105"/>
        <v>0</v>
      </c>
      <c r="CS162" s="95">
        <f t="shared" ca="1" si="106"/>
        <v>2</v>
      </c>
      <c r="CT162" s="103">
        <f t="shared" ca="1" si="107"/>
        <v>6.0000000000000001E-3</v>
      </c>
      <c r="CU162" s="95">
        <f t="shared" ca="1" si="108"/>
        <v>4.8837164782482394E-2</v>
      </c>
      <c r="CV162" s="37">
        <f ca="1">$CB162^2/$CF162^2</f>
        <v>0.12135922330097085</v>
      </c>
      <c r="CW162" s="37">
        <f ca="1">$CD162^2/$CF162^2</f>
        <v>0.48543689320388339</v>
      </c>
      <c r="CX162" s="37">
        <f ca="1">$CE162^2/$CF162^2</f>
        <v>0.39320388349514551</v>
      </c>
      <c r="CY162" s="37">
        <f ca="1">$CC162^2/$CF162^2</f>
        <v>0</v>
      </c>
      <c r="DA162" s="98" t="s">
        <v>214</v>
      </c>
      <c r="DB162" s="36">
        <f ca="1">OFFSET($A$1,ROW(DB162)-1,MATCH(DA162,$1:$1,0)-1)</f>
        <v>12</v>
      </c>
      <c r="DC162" s="9">
        <f ca="1">BB162</f>
        <v>0.2608695652173913</v>
      </c>
      <c r="DD162" s="9">
        <f ca="1">$DC162+$CA162</f>
        <v>0.3097067299998737</v>
      </c>
      <c r="DE162" s="9">
        <f ca="1">$DC162-$CA162</f>
        <v>0.2120324004349089</v>
      </c>
      <c r="DF162" s="10">
        <f t="shared" ca="1" si="87"/>
        <v>0.18720913166618255</v>
      </c>
    </row>
    <row r="163" spans="1:110" s="8" customFormat="1" ht="32.4" customHeight="1">
      <c r="A163" s="206" t="s">
        <v>599</v>
      </c>
      <c r="B163" s="208" t="s">
        <v>2344</v>
      </c>
      <c r="C163" s="206" t="str">
        <f t="shared" si="118"/>
        <v>Parameter-Variation: Lambda_Insulation_Effective = 0,045 W/(m·K)</v>
      </c>
      <c r="D163" s="206"/>
      <c r="E163" s="206" t="s">
        <v>200</v>
      </c>
      <c r="F163" s="206" t="str">
        <f t="shared" si="119"/>
        <v>0,045 W/(m·K)</v>
      </c>
      <c r="G163" s="206" t="s">
        <v>2170</v>
      </c>
      <c r="H163" s="206" t="s">
        <v>2171</v>
      </c>
      <c r="I163" s="156" t="s">
        <v>80</v>
      </c>
      <c r="J163" s="156" t="s">
        <v>134</v>
      </c>
      <c r="K163" s="156" t="s">
        <v>155</v>
      </c>
      <c r="L163" s="156" t="s">
        <v>66</v>
      </c>
      <c r="M163" s="156" t="s">
        <v>188</v>
      </c>
      <c r="N163" s="7">
        <v>1960</v>
      </c>
      <c r="O163" s="156">
        <v>1</v>
      </c>
      <c r="P163" s="156">
        <v>0</v>
      </c>
      <c r="Q163" s="156" t="s">
        <v>435</v>
      </c>
      <c r="R163" s="156" t="s">
        <v>58</v>
      </c>
      <c r="S163" s="19">
        <v>12</v>
      </c>
      <c r="T163" s="19">
        <v>1</v>
      </c>
      <c r="U163" s="19">
        <v>2016</v>
      </c>
      <c r="V163" s="19">
        <f t="shared" si="122"/>
        <v>4.4999999999999998E-2</v>
      </c>
      <c r="W163" s="28" t="s">
        <v>59</v>
      </c>
      <c r="X163" s="19" t="e">
        <v>#N/A</v>
      </c>
      <c r="Y163" s="105">
        <f ca="1">IFERROR(OFFSET(Tab.Const.ConstrBorder!$A$1,MATCH(Q163,Tab.Const.ConstrBorder!$A:$A,0)-1,MATCH(Y$87,Tab.Const.ConstrBorder!$1:$1,0)-1),0)</f>
        <v>0</v>
      </c>
      <c r="Z163" s="18">
        <f t="shared" si="110"/>
        <v>1960</v>
      </c>
      <c r="AA163" s="17">
        <f>MATCH(Z163,Tab.Year.Period!$11:$11,1)-3</f>
        <v>5</v>
      </c>
      <c r="AB163" s="17">
        <f>MATCH(AB$88&amp;"."&amp;TEXT(AA163,"00"),Tab.U.Default!$A:$A,0)</f>
        <v>28</v>
      </c>
      <c r="AC163" s="105">
        <f ca="1">OFFSET(Tab.U.Default!$A$1,$AB163-1,MATCH("U_Class_"&amp;IF($J163="TopCeiling","UpperCeiling",$J163)&amp;"_"&amp;AC$87,Tab.U.Default!$1:$1,0)-1)</f>
        <v>1.2</v>
      </c>
      <c r="AD163" s="105">
        <f ca="1">OFFSET(Tab.U.Default!$A$1,$AB163-1,MATCH("U_Class_"&amp;IF($J163="TopCeiling","UpperCeiling",$J163)&amp;"_"&amp;AD$87,Tab.U.Default!$1:$1,0)-1)</f>
        <v>1.2</v>
      </c>
      <c r="AE163" s="105">
        <f ca="1">OFFSET(Tab.U.Default!$A$1,$AB163-1,MATCH("U_Class_"&amp;IF($J163="TopCeiling","UpperCeiling",$J163)&amp;"_"&amp;AE$87,Tab.U.Default!$1:$1,0)-1)</f>
        <v>0.8</v>
      </c>
      <c r="AF163" s="26">
        <f t="shared" ca="1" si="96"/>
        <v>1.2</v>
      </c>
      <c r="AG163" s="26">
        <f t="shared" ca="1" si="97"/>
        <v>1.2</v>
      </c>
      <c r="AH163" s="18" t="str">
        <f t="shared" si="59"/>
        <v>Refurbish</v>
      </c>
      <c r="AI163" s="18" t="str">
        <f t="shared" si="111"/>
        <v>Add</v>
      </c>
      <c r="AJ163" s="18">
        <f t="shared" si="98"/>
        <v>2016</v>
      </c>
      <c r="AK163" s="17">
        <f>MATCH(AJ163,Tab.Year.Period!$11:$11,1)-3</f>
        <v>12</v>
      </c>
      <c r="AL163" s="17">
        <f>MATCH(AL$88&amp;"."&amp;TEXT(AK163,"00"),Tab.Insulation.Default!$A:$A,0)</f>
        <v>23</v>
      </c>
      <c r="AM163" s="20" t="e">
        <f ca="1">IF(ISNA(IF(S163="",#N/A,S163)),OFFSET(Tab.Insulation.Default!$A$1,$AL163-1,MATCH(AM$87&amp;"_"&amp;$K163,Tab.Insulation.Default!$1:$1,0)-1),#N/A)</f>
        <v>#N/A</v>
      </c>
      <c r="AN163" s="27">
        <f t="shared" si="112"/>
        <v>12</v>
      </c>
      <c r="AO163" s="22" t="e">
        <f ca="1">IF(ISNA(IF(V163="",#N/A,V163)),OFFSET(Tab.Insulation.Default!$A$1,$AL163-1,MATCH(AO$87&amp;"_"&amp;$K163,Tab.Insulation.Default!$1:$1,0)-1),#N/A)</f>
        <v>#N/A</v>
      </c>
      <c r="AP163" s="23">
        <f t="shared" si="113"/>
        <v>4.4999999999999998E-2</v>
      </c>
      <c r="AQ163" s="29" t="str">
        <f t="shared" si="60"/>
        <v>Gen.Refurbished.12</v>
      </c>
      <c r="AR163" s="17">
        <f>MATCH(AR$88&amp;"."&amp;AQ163,Tab.Measure.f.Default!$A:$A,0)</f>
        <v>23</v>
      </c>
      <c r="AS163" s="21">
        <f ca="1">OFFSET(Tab.Measure.f.Default!$A$1,AR163-1,MATCH(AS$87&amp;"_"&amp;$J163,Tab.Measure.f.Default!$1:$1,0)-1)</f>
        <v>0.75</v>
      </c>
      <c r="AT163" s="29" t="str">
        <f t="shared" si="61"/>
        <v>MUH.NA.05</v>
      </c>
      <c r="AU163" s="17">
        <f>MATCH(AU$88&amp;"."&amp;AT163,Tab.Measure.f.Default!$A:$A,0)</f>
        <v>40</v>
      </c>
      <c r="AV163" s="21">
        <f ca="1">OFFSET(Tab.Measure.f.Default!$A$1,AU163-1,MATCH(AV$87&amp;"_"&amp;$J163,Tab.Measure.f.Default!$1:$1,0)-1)</f>
        <v>0.37</v>
      </c>
      <c r="AW163" s="30">
        <f t="shared" si="114"/>
        <v>1</v>
      </c>
      <c r="AX163" s="9">
        <f t="shared" ca="1" si="62"/>
        <v>0.83333333333333337</v>
      </c>
      <c r="AY163" s="9">
        <f t="shared" si="63"/>
        <v>2.6666666666666665</v>
      </c>
      <c r="AZ163" s="9">
        <f t="shared" ca="1" si="120"/>
        <v>3.5</v>
      </c>
      <c r="BA163" s="9">
        <f t="shared" ca="1" si="121"/>
        <v>0.2857142857142857</v>
      </c>
      <c r="BB163" s="9">
        <f t="shared" ca="1" si="64"/>
        <v>0.2857142857142857</v>
      </c>
      <c r="BC163" s="32" t="str">
        <f t="shared" si="65"/>
        <v>D</v>
      </c>
      <c r="BD163" s="20" t="str">
        <f ca="1">OFFSET(Tab.Uncertainty.Levels!$A$1,MATCH(BD$88,Tab.Uncertainty.Levels!$A:$A,0)-1,MATCH(BD$87&amp;"_"&amp;BC163,Tab.Uncertainty.Levels!$1:$1,0)-1)</f>
        <v>Use of default values; building constructed until 1983</v>
      </c>
      <c r="BE163" s="24">
        <f ca="1">OFFSET(Tab.Uncertainty.Levels!$A$1,MATCH(BE$88,Tab.Uncertainty.Levels!$A:$A,0)-1,MATCH(BE$87&amp;"_"&amp;BC163,Tab.Uncertainty.Levels!$1:$1,0)-1)</f>
        <v>0.3</v>
      </c>
      <c r="BF163" s="32" t="str">
        <f t="shared" si="66"/>
        <v>-</v>
      </c>
      <c r="BG163" s="20" t="e">
        <f ca="1">OFFSET(Tab.Uncertainty.Levels!$A$1,MATCH(BG$88,Tab.Uncertainty.Levels!$A:$A,0)-1,MATCH(BG$87&amp;"_"&amp;BF163,Tab.Uncertainty.Levels!$1:$1,0)-1)</f>
        <v>#N/A</v>
      </c>
      <c r="BH163" s="24" t="e">
        <f ca="1">OFFSET(Tab.Uncertainty.Levels!$A$1,MATCH(BH$88,Tab.Uncertainty.Levels!$A:$A,0)-1,MATCH(BH$87&amp;"_"&amp;BF163,Tab.Uncertainty.Levels!$1:$1,0)-1)</f>
        <v>#N/A</v>
      </c>
      <c r="BI163" s="32" t="str">
        <f t="shared" si="31"/>
        <v>D</v>
      </c>
      <c r="BJ163" s="13">
        <f ca="1">IF(BF163="-",BE163,BH163)</f>
        <v>0.3</v>
      </c>
      <c r="BK163" s="32" t="str">
        <f>IF(OR($L163="NoDataSource",IFERROR(IF($S163="",#N/A,$S163),0)=0),IF(IFERROR(IF(U163="",#N/A,U163),0)=0,"E","D"),IF($L163="DesignDataPlusQA","A",IF($L163="DesignData","B","C")))</f>
        <v>C</v>
      </c>
      <c r="BL163" s="20" t="str">
        <f ca="1">OFFSET(Tab.Uncertainty.Levels!$A$1,MATCH(BL$88,Tab.Uncertainty.Levels!$A:$A,0)-1,MATCH(BL$87&amp;"_"&amp;BK163,Tab.Uncertainty.Levels!$1:$1,0)-1)</f>
        <v>Insulation thickness determined by inspection onsite / record or statement of owner</v>
      </c>
      <c r="BM163" s="24">
        <f ca="1">OFFSET(Tab.Uncertainty.Levels!$A$1,MATCH(BM$88,Tab.Uncertainty.Levels!$A:$A,0)-1,MATCH(BM$87&amp;"_"&amp;BK163,Tab.Uncertainty.Levels!$1:$1,0)-1)</f>
        <v>0.25</v>
      </c>
      <c r="BN163" s="34">
        <f ca="1">OFFSET(Tab.Uncertainty.Levels!$A$1,MATCH(BN$88,Tab.Uncertainty.Levels!$A:$A,0)-1,MATCH(BN$87&amp;"_"&amp;BK163,Tab.Uncertainty.Levels!$1:$1,0)-1)</f>
        <v>2</v>
      </c>
      <c r="BO163" s="13">
        <f ca="1">IFERROR(MIN(BM163,BN163/AN163),0)</f>
        <v>0.16666666666666666</v>
      </c>
      <c r="BP163" s="32" t="str">
        <f>IF(OR($L163="NoDataSource",IFERROR(IF($V163="",#N/A,$V163),0)=0),IF(IFERROR(IF(U163="",#N/A,U163),0)=0,"E","D"),IF($L163="DesignDataPlusQA","A",IF($L163="DesignData","B","C")))</f>
        <v>C</v>
      </c>
      <c r="BQ163" s="20" t="str">
        <f ca="1">OFFSET(Tab.Uncertainty.Levels!$A$1,MATCH(BQ$88,Tab.Uncertainty.Levels!$A:$A,0)-1,MATCH(BQ$87&amp;"_"&amp;BP163,Tab.Uncertainty.Levels!$1:$1,0)-1)</f>
        <v>Thermal conductivity of Insulation determined by inspection onsite / record or statement of owner</v>
      </c>
      <c r="BR163" s="97">
        <f ca="1">OFFSET(Tab.Uncertainty.Levels!$A$1,MATCH(BR$88,Tab.Uncertainty.Levels!$A:$A,0)-1,MATCH(BR$87&amp;"_"&amp;BP163,Tab.Uncertainty.Levels!$1:$1,0)-1)</f>
        <v>0.15</v>
      </c>
      <c r="BS163" s="32" t="str">
        <f>IF(L163="NoDataSource","D",IF(IFERROR(IF($T163="",#N/A,$T163),0)=0,IF(OR(IFERROR(IF($S163="",#N/A,$S163),0)&gt;0,$R163="Refurbish"),"D","E"),IF($L163="DesignDataPlusQA","A",IF($L163="DesignData","B","C"))))</f>
        <v>C</v>
      </c>
      <c r="BT163" s="20" t="str">
        <f ca="1">OFFSET(Tab.Uncertainty.Levels!$A$1,MATCH(BT$88,Tab.Uncertainty.Levels!$A:$A,0)-1,MATCH(BT$87&amp;"_"&amp;BS163,Tab.Uncertainty.Levels!$1:$1,0)-1)</f>
        <v>Insulation fraction determined by inspection onsite / record or statement of owner</v>
      </c>
      <c r="BU163" s="33">
        <f ca="1">OFFSET(Tab.Uncertainty.Levels!$A$1,MATCH(BU$88,Tab.Uncertainty.Levels!$A:$A,0)-1,MATCH(BU$87&amp;"_"&amp;BS163,Tab.Uncertainty.Levels!$1:$1,0)-1)</f>
        <v>0.2</v>
      </c>
      <c r="BV163" s="13">
        <f ca="1">IFERROR(MIN(BU163/AW163,1,(1-AW163)/AW163),0)</f>
        <v>0</v>
      </c>
      <c r="BW163" s="96">
        <f ca="1">ABS(1+(AW163*(1/(1+AN163/100/AP163*AG163)^2-1)))*BJ163*$AG163</f>
        <v>2.0408163265306114E-2</v>
      </c>
      <c r="BX163" s="96">
        <f ca="1">ABS(-AG163+1/(1/AG163+AN163/100/AP163))*BV163*AW163</f>
        <v>0</v>
      </c>
      <c r="BY163" s="96">
        <f ca="1">ABS(-AW163*AP163/((AP163/AG163+AN163/100)^2))*(BO163*AN163/100)</f>
        <v>3.6281179138321996E-2</v>
      </c>
      <c r="BZ163" s="202">
        <f ca="1">ABS(AW163*AN163/100/(1/AG163*AP163+AN163/100)^2)*(BR163*AP163)</f>
        <v>3.2653061224489792E-2</v>
      </c>
      <c r="CA163" s="103">
        <f t="shared" ca="1" si="117"/>
        <v>5.290594952234276E-2</v>
      </c>
      <c r="CB163" s="37">
        <f t="shared" ca="1" si="67"/>
        <v>7.1428571428571397E-2</v>
      </c>
      <c r="CC163" s="37">
        <f t="shared" ca="1" si="68"/>
        <v>0</v>
      </c>
      <c r="CD163" s="37">
        <f t="shared" ca="1" si="69"/>
        <v>0.126984126984127</v>
      </c>
      <c r="CE163" s="37">
        <f t="shared" ca="1" si="70"/>
        <v>0.11428571428571428</v>
      </c>
      <c r="CF163" s="13">
        <f t="shared" ca="1" si="71"/>
        <v>0.18517082332819967</v>
      </c>
      <c r="CG163" s="101">
        <f ca="1">AG163</f>
        <v>1.2</v>
      </c>
      <c r="CH163" s="101">
        <f>AW163</f>
        <v>1</v>
      </c>
      <c r="CI163" s="203">
        <f>IF(CH163&gt;0,AN163,0)</f>
        <v>12</v>
      </c>
      <c r="CJ163" s="102">
        <f>IF(AND(CH163&gt;0,CI163&gt;0),AP163,0)</f>
        <v>4.4999999999999998E-2</v>
      </c>
      <c r="CK163" s="102">
        <f ca="1">BB163</f>
        <v>0.2857142857142857</v>
      </c>
      <c r="CL163" s="37">
        <f t="shared" ca="1" si="99"/>
        <v>0.3</v>
      </c>
      <c r="CM163" s="37">
        <f t="shared" ca="1" si="100"/>
        <v>0</v>
      </c>
      <c r="CN163" s="37">
        <f t="shared" ca="1" si="101"/>
        <v>0.16666666666666666</v>
      </c>
      <c r="CO163" s="37">
        <f t="shared" ca="1" si="102"/>
        <v>0.15</v>
      </c>
      <c r="CP163" s="37">
        <f t="shared" ca="1" si="103"/>
        <v>0.18517082332819967</v>
      </c>
      <c r="CQ163" s="95">
        <f t="shared" ca="1" si="104"/>
        <v>0.36</v>
      </c>
      <c r="CR163" s="95">
        <f t="shared" ca="1" si="105"/>
        <v>0</v>
      </c>
      <c r="CS163" s="95">
        <f t="shared" ca="1" si="106"/>
        <v>2</v>
      </c>
      <c r="CT163" s="103">
        <f t="shared" ca="1" si="107"/>
        <v>6.7499999999999999E-3</v>
      </c>
      <c r="CU163" s="95">
        <f t="shared" ca="1" si="108"/>
        <v>5.290594952234276E-2</v>
      </c>
      <c r="CV163" s="37">
        <f ca="1">$CB163^2/$CF163^2</f>
        <v>0.14879858916893218</v>
      </c>
      <c r="CW163" s="37">
        <f ca="1">$CD163^2/$CF163^2</f>
        <v>0.47027702255860104</v>
      </c>
      <c r="CX163" s="37">
        <f ca="1">$CE163^2/$CF163^2</f>
        <v>0.38092438827246672</v>
      </c>
      <c r="CY163" s="37">
        <f ca="1">$CC163^2/$CF163^2</f>
        <v>0</v>
      </c>
      <c r="DA163" s="98" t="s">
        <v>214</v>
      </c>
      <c r="DB163" s="36">
        <f ca="1">OFFSET($A$1,ROW(DB163)-1,MATCH(DA163,$1:$1,0)-1)</f>
        <v>12</v>
      </c>
      <c r="DC163" s="9">
        <f ca="1">BB163</f>
        <v>0.2857142857142857</v>
      </c>
      <c r="DD163" s="9">
        <f ca="1">$DC163+$CA163</f>
        <v>0.33862023523662843</v>
      </c>
      <c r="DE163" s="9">
        <f ca="1">$DC163-$CA163</f>
        <v>0.23280833619194294</v>
      </c>
      <c r="DF163" s="10">
        <f t="shared" ca="1" si="87"/>
        <v>0.18517082332819962</v>
      </c>
    </row>
    <row r="164" spans="1:110" s="8" customFormat="1" ht="32.4" customHeight="1">
      <c r="A164" s="206" t="s">
        <v>600</v>
      </c>
      <c r="B164" s="208" t="s">
        <v>2344</v>
      </c>
      <c r="C164" s="206" t="str">
        <f t="shared" si="118"/>
        <v>Parameter-Variation: Lambda_Insulation_Effective = 0,050 W/(m·K)</v>
      </c>
      <c r="D164" s="206"/>
      <c r="E164" s="206" t="s">
        <v>200</v>
      </c>
      <c r="F164" s="206" t="str">
        <f t="shared" si="119"/>
        <v>0,050 W/(m·K)</v>
      </c>
      <c r="G164" s="206" t="s">
        <v>2170</v>
      </c>
      <c r="H164" s="206" t="s">
        <v>2171</v>
      </c>
      <c r="I164" s="156" t="s">
        <v>80</v>
      </c>
      <c r="J164" s="156" t="s">
        <v>134</v>
      </c>
      <c r="K164" s="156" t="s">
        <v>155</v>
      </c>
      <c r="L164" s="156" t="s">
        <v>66</v>
      </c>
      <c r="M164" s="156" t="s">
        <v>188</v>
      </c>
      <c r="N164" s="7">
        <v>1960</v>
      </c>
      <c r="O164" s="156">
        <v>1</v>
      </c>
      <c r="P164" s="156">
        <v>0</v>
      </c>
      <c r="Q164" s="156" t="s">
        <v>435</v>
      </c>
      <c r="R164" s="156" t="s">
        <v>58</v>
      </c>
      <c r="S164" s="19">
        <v>12</v>
      </c>
      <c r="T164" s="19">
        <v>1</v>
      </c>
      <c r="U164" s="19">
        <v>2016</v>
      </c>
      <c r="V164" s="19">
        <f t="shared" si="122"/>
        <v>4.9999999999999996E-2</v>
      </c>
      <c r="W164" s="28" t="s">
        <v>59</v>
      </c>
      <c r="X164" s="19" t="e">
        <v>#N/A</v>
      </c>
      <c r="Y164" s="105">
        <f ca="1">IFERROR(OFFSET(Tab.Const.ConstrBorder!$A$1,MATCH(Q164,Tab.Const.ConstrBorder!$A:$A,0)-1,MATCH(Y$87,Tab.Const.ConstrBorder!$1:$1,0)-1),0)</f>
        <v>0</v>
      </c>
      <c r="Z164" s="18">
        <f t="shared" si="110"/>
        <v>1960</v>
      </c>
      <c r="AA164" s="17">
        <f>MATCH(Z164,Tab.Year.Period!$11:$11,1)-3</f>
        <v>5</v>
      </c>
      <c r="AB164" s="17">
        <f>MATCH(AB$88&amp;"."&amp;TEXT(AA164,"00"),Tab.U.Default!$A:$A,0)</f>
        <v>28</v>
      </c>
      <c r="AC164" s="105">
        <f ca="1">OFFSET(Tab.U.Default!$A$1,$AB164-1,MATCH("U_Class_"&amp;IF($J164="TopCeiling","UpperCeiling",$J164)&amp;"_"&amp;AC$87,Tab.U.Default!$1:$1,0)-1)</f>
        <v>1.2</v>
      </c>
      <c r="AD164" s="105">
        <f ca="1">OFFSET(Tab.U.Default!$A$1,$AB164-1,MATCH("U_Class_"&amp;IF($J164="TopCeiling","UpperCeiling",$J164)&amp;"_"&amp;AD$87,Tab.U.Default!$1:$1,0)-1)</f>
        <v>1.2</v>
      </c>
      <c r="AE164" s="105">
        <f ca="1">OFFSET(Tab.U.Default!$A$1,$AB164-1,MATCH("U_Class_"&amp;IF($J164="TopCeiling","UpperCeiling",$J164)&amp;"_"&amp;AE$87,Tab.U.Default!$1:$1,0)-1)</f>
        <v>0.8</v>
      </c>
      <c r="AF164" s="26">
        <f t="shared" ca="1" si="96"/>
        <v>1.2</v>
      </c>
      <c r="AG164" s="26">
        <f t="shared" ca="1" si="97"/>
        <v>1.2</v>
      </c>
      <c r="AH164" s="18" t="str">
        <f t="shared" si="59"/>
        <v>Refurbish</v>
      </c>
      <c r="AI164" s="18" t="str">
        <f t="shared" si="111"/>
        <v>Add</v>
      </c>
      <c r="AJ164" s="18">
        <f t="shared" si="98"/>
        <v>2016</v>
      </c>
      <c r="AK164" s="17">
        <f>MATCH(AJ164,Tab.Year.Period!$11:$11,1)-3</f>
        <v>12</v>
      </c>
      <c r="AL164" s="17">
        <f>MATCH(AL$88&amp;"."&amp;TEXT(AK164,"00"),Tab.Insulation.Default!$A:$A,0)</f>
        <v>23</v>
      </c>
      <c r="AM164" s="20" t="e">
        <f ca="1">IF(ISNA(IF(S164="",#N/A,S164)),OFFSET(Tab.Insulation.Default!$A$1,$AL164-1,MATCH(AM$87&amp;"_"&amp;$K164,Tab.Insulation.Default!$1:$1,0)-1),#N/A)</f>
        <v>#N/A</v>
      </c>
      <c r="AN164" s="27">
        <f t="shared" si="112"/>
        <v>12</v>
      </c>
      <c r="AO164" s="22" t="e">
        <f ca="1">IF(ISNA(IF(V164="",#N/A,V164)),OFFSET(Tab.Insulation.Default!$A$1,$AL164-1,MATCH(AO$87&amp;"_"&amp;$K164,Tab.Insulation.Default!$1:$1,0)-1),#N/A)</f>
        <v>#N/A</v>
      </c>
      <c r="AP164" s="23">
        <f t="shared" si="113"/>
        <v>4.9999999999999996E-2</v>
      </c>
      <c r="AQ164" s="29" t="str">
        <f t="shared" si="60"/>
        <v>Gen.Refurbished.12</v>
      </c>
      <c r="AR164" s="17">
        <f>MATCH(AR$88&amp;"."&amp;AQ164,Tab.Measure.f.Default!$A:$A,0)</f>
        <v>23</v>
      </c>
      <c r="AS164" s="21">
        <f ca="1">OFFSET(Tab.Measure.f.Default!$A$1,AR164-1,MATCH(AS$87&amp;"_"&amp;$J164,Tab.Measure.f.Default!$1:$1,0)-1)</f>
        <v>0.75</v>
      </c>
      <c r="AT164" s="29" t="str">
        <f t="shared" si="61"/>
        <v>MUH.NA.05</v>
      </c>
      <c r="AU164" s="17">
        <f>MATCH(AU$88&amp;"."&amp;AT164,Tab.Measure.f.Default!$A:$A,0)</f>
        <v>40</v>
      </c>
      <c r="AV164" s="21">
        <f ca="1">OFFSET(Tab.Measure.f.Default!$A$1,AU164-1,MATCH(AV$87&amp;"_"&amp;$J164,Tab.Measure.f.Default!$1:$1,0)-1)</f>
        <v>0.37</v>
      </c>
      <c r="AW164" s="30">
        <f t="shared" si="114"/>
        <v>1</v>
      </c>
      <c r="AX164" s="9">
        <f t="shared" ca="1" si="62"/>
        <v>0.83333333333333337</v>
      </c>
      <c r="AY164" s="9">
        <f t="shared" si="63"/>
        <v>2.4</v>
      </c>
      <c r="AZ164" s="9">
        <f t="shared" ca="1" si="120"/>
        <v>3.2333333333333334</v>
      </c>
      <c r="BA164" s="9">
        <f t="shared" ca="1" si="121"/>
        <v>0.30927835051546393</v>
      </c>
      <c r="BB164" s="9">
        <f t="shared" ca="1" si="64"/>
        <v>0.30927835051546393</v>
      </c>
      <c r="BC164" s="32" t="str">
        <f t="shared" si="65"/>
        <v>D</v>
      </c>
      <c r="BD164" s="20" t="str">
        <f ca="1">OFFSET(Tab.Uncertainty.Levels!$A$1,MATCH(BD$88,Tab.Uncertainty.Levels!$A:$A,0)-1,MATCH(BD$87&amp;"_"&amp;BC164,Tab.Uncertainty.Levels!$1:$1,0)-1)</f>
        <v>Use of default values; building constructed until 1983</v>
      </c>
      <c r="BE164" s="24">
        <f ca="1">OFFSET(Tab.Uncertainty.Levels!$A$1,MATCH(BE$88,Tab.Uncertainty.Levels!$A:$A,0)-1,MATCH(BE$87&amp;"_"&amp;BC164,Tab.Uncertainty.Levels!$1:$1,0)-1)</f>
        <v>0.3</v>
      </c>
      <c r="BF164" s="32" t="str">
        <f t="shared" si="66"/>
        <v>-</v>
      </c>
      <c r="BG164" s="20" t="e">
        <f ca="1">OFFSET(Tab.Uncertainty.Levels!$A$1,MATCH(BG$88,Tab.Uncertainty.Levels!$A:$A,0)-1,MATCH(BG$87&amp;"_"&amp;BF164,Tab.Uncertainty.Levels!$1:$1,0)-1)</f>
        <v>#N/A</v>
      </c>
      <c r="BH164" s="24" t="e">
        <f ca="1">OFFSET(Tab.Uncertainty.Levels!$A$1,MATCH(BH$88,Tab.Uncertainty.Levels!$A:$A,0)-1,MATCH(BH$87&amp;"_"&amp;BF164,Tab.Uncertainty.Levels!$1:$1,0)-1)</f>
        <v>#N/A</v>
      </c>
      <c r="BI164" s="32" t="str">
        <f t="shared" si="31"/>
        <v>D</v>
      </c>
      <c r="BJ164" s="13">
        <f ca="1">IF(BF164="-",BE164,BH164)</f>
        <v>0.3</v>
      </c>
      <c r="BK164" s="32" t="str">
        <f>IF(OR($L164="NoDataSource",IFERROR(IF($S164="",#N/A,$S164),0)=0),IF(IFERROR(IF(U164="",#N/A,U164),0)=0,"E","D"),IF($L164="DesignDataPlusQA","A",IF($L164="DesignData","B","C")))</f>
        <v>C</v>
      </c>
      <c r="BL164" s="20" t="str">
        <f ca="1">OFFSET(Tab.Uncertainty.Levels!$A$1,MATCH(BL$88,Tab.Uncertainty.Levels!$A:$A,0)-1,MATCH(BL$87&amp;"_"&amp;BK164,Tab.Uncertainty.Levels!$1:$1,0)-1)</f>
        <v>Insulation thickness determined by inspection onsite / record or statement of owner</v>
      </c>
      <c r="BM164" s="24">
        <f ca="1">OFFSET(Tab.Uncertainty.Levels!$A$1,MATCH(BM$88,Tab.Uncertainty.Levels!$A:$A,0)-1,MATCH(BM$87&amp;"_"&amp;BK164,Tab.Uncertainty.Levels!$1:$1,0)-1)</f>
        <v>0.25</v>
      </c>
      <c r="BN164" s="34">
        <f ca="1">OFFSET(Tab.Uncertainty.Levels!$A$1,MATCH(BN$88,Tab.Uncertainty.Levels!$A:$A,0)-1,MATCH(BN$87&amp;"_"&amp;BK164,Tab.Uncertainty.Levels!$1:$1,0)-1)</f>
        <v>2</v>
      </c>
      <c r="BO164" s="13">
        <f ca="1">IFERROR(MIN(BM164,BN164/AN164),0)</f>
        <v>0.16666666666666666</v>
      </c>
      <c r="BP164" s="32" t="str">
        <f>IF(OR($L164="NoDataSource",IFERROR(IF($V164="",#N/A,$V164),0)=0),IF(IFERROR(IF(U164="",#N/A,U164),0)=0,"E","D"),IF($L164="DesignDataPlusQA","A",IF($L164="DesignData","B","C")))</f>
        <v>C</v>
      </c>
      <c r="BQ164" s="20" t="str">
        <f ca="1">OFFSET(Tab.Uncertainty.Levels!$A$1,MATCH(BQ$88,Tab.Uncertainty.Levels!$A:$A,0)-1,MATCH(BQ$87&amp;"_"&amp;BP164,Tab.Uncertainty.Levels!$1:$1,0)-1)</f>
        <v>Thermal conductivity of Insulation determined by inspection onsite / record or statement of owner</v>
      </c>
      <c r="BR164" s="97">
        <f ca="1">OFFSET(Tab.Uncertainty.Levels!$A$1,MATCH(BR$88,Tab.Uncertainty.Levels!$A:$A,0)-1,MATCH(BR$87&amp;"_"&amp;BP164,Tab.Uncertainty.Levels!$1:$1,0)-1)</f>
        <v>0.15</v>
      </c>
      <c r="BS164" s="32" t="str">
        <f>IF(L164="NoDataSource","D",IF(IFERROR(IF($T164="",#N/A,$T164),0)=0,IF(OR(IFERROR(IF($S164="",#N/A,$S164),0)&gt;0,$R164="Refurbish"),"D","E"),IF($L164="DesignDataPlusQA","A",IF($L164="DesignData","B","C"))))</f>
        <v>C</v>
      </c>
      <c r="BT164" s="20" t="str">
        <f ca="1">OFFSET(Tab.Uncertainty.Levels!$A$1,MATCH(BT$88,Tab.Uncertainty.Levels!$A:$A,0)-1,MATCH(BT$87&amp;"_"&amp;BS164,Tab.Uncertainty.Levels!$1:$1,0)-1)</f>
        <v>Insulation fraction determined by inspection onsite / record or statement of owner</v>
      </c>
      <c r="BU164" s="33">
        <f ca="1">OFFSET(Tab.Uncertainty.Levels!$A$1,MATCH(BU$88,Tab.Uncertainty.Levels!$A:$A,0)-1,MATCH(BU$87&amp;"_"&amp;BS164,Tab.Uncertainty.Levels!$1:$1,0)-1)</f>
        <v>0.2</v>
      </c>
      <c r="BV164" s="13">
        <f ca="1">IFERROR(MIN(BU164/AW164,1,(1-AW164)/AW164),0)</f>
        <v>0</v>
      </c>
      <c r="BW164" s="96">
        <f ca="1">ABS(1+(AW164*(1/(1+AN164/100/AP164*AG164)^2-1)))*BJ164*$AG164</f>
        <v>2.3913274524391525E-2</v>
      </c>
      <c r="BX164" s="96">
        <f ca="1">ABS(-AG164+1/(1/AG164+AN164/100/AP164))*BV164*AW164</f>
        <v>0</v>
      </c>
      <c r="BY164" s="96">
        <f ca="1">ABS(-AW164*AP164/((AP164/AG164+AN164/100)^2))*(BO164*AN164/100)</f>
        <v>3.8261239239026468E-2</v>
      </c>
      <c r="BZ164" s="202">
        <f ca="1">ABS(AW164*AN164/100/(1/AG164*AP164+AN164/100)^2)*(BR164*AP164)</f>
        <v>3.4435115315123818E-2</v>
      </c>
      <c r="CA164" s="103">
        <f t="shared" ca="1" si="117"/>
        <v>5.6758649502527861E-2</v>
      </c>
      <c r="CB164" s="37">
        <f t="shared" ca="1" si="67"/>
        <v>7.7319587628865927E-2</v>
      </c>
      <c r="CC164" s="37">
        <f t="shared" ca="1" si="68"/>
        <v>0</v>
      </c>
      <c r="CD164" s="37">
        <f t="shared" ca="1" si="69"/>
        <v>0.12371134020618557</v>
      </c>
      <c r="CE164" s="37">
        <f t="shared" ca="1" si="70"/>
        <v>0.111340206185567</v>
      </c>
      <c r="CF164" s="13">
        <f t="shared" ca="1" si="71"/>
        <v>0.18351963339150673</v>
      </c>
      <c r="CG164" s="101">
        <f ca="1">AG164</f>
        <v>1.2</v>
      </c>
      <c r="CH164" s="101">
        <f>AW164</f>
        <v>1</v>
      </c>
      <c r="CI164" s="203">
        <f>IF(CH164&gt;0,AN164,0)</f>
        <v>12</v>
      </c>
      <c r="CJ164" s="102">
        <f>IF(AND(CH164&gt;0,CI164&gt;0),AP164,0)</f>
        <v>4.9999999999999996E-2</v>
      </c>
      <c r="CK164" s="102">
        <f ca="1">BB164</f>
        <v>0.30927835051546393</v>
      </c>
      <c r="CL164" s="37">
        <f t="shared" ca="1" si="99"/>
        <v>0.3</v>
      </c>
      <c r="CM164" s="37">
        <f t="shared" ca="1" si="100"/>
        <v>0</v>
      </c>
      <c r="CN164" s="37">
        <f t="shared" ca="1" si="101"/>
        <v>0.16666666666666666</v>
      </c>
      <c r="CO164" s="37">
        <f t="shared" ca="1" si="102"/>
        <v>0.15</v>
      </c>
      <c r="CP164" s="37">
        <f t="shared" ca="1" si="103"/>
        <v>0.18351963339150673</v>
      </c>
      <c r="CQ164" s="95">
        <f t="shared" ca="1" si="104"/>
        <v>0.36</v>
      </c>
      <c r="CR164" s="95">
        <f t="shared" ca="1" si="105"/>
        <v>0</v>
      </c>
      <c r="CS164" s="95">
        <f t="shared" ca="1" si="106"/>
        <v>2</v>
      </c>
      <c r="CT164" s="103">
        <f t="shared" ca="1" si="107"/>
        <v>7.4999999999999989E-3</v>
      </c>
      <c r="CU164" s="95">
        <f t="shared" ca="1" si="108"/>
        <v>5.6758649502527854E-2</v>
      </c>
      <c r="CV164" s="37">
        <f ca="1">$CB164^2/$CF164^2</f>
        <v>0.17750639023004811</v>
      </c>
      <c r="CW164" s="37">
        <f ca="1">$CD164^2/$CF164^2</f>
        <v>0.45441635898892374</v>
      </c>
      <c r="CX164" s="37">
        <f ca="1">$CE164^2/$CF164^2</f>
        <v>0.36807725078102821</v>
      </c>
      <c r="CY164" s="37">
        <f ca="1">$CC164^2/$CF164^2</f>
        <v>0</v>
      </c>
      <c r="DA164" s="98" t="s">
        <v>214</v>
      </c>
      <c r="DB164" s="36">
        <f ca="1">OFFSET($A$1,ROW(DB164)-1,MATCH(DA164,$1:$1,0)-1)</f>
        <v>12</v>
      </c>
      <c r="DC164" s="9">
        <f ca="1">BB164</f>
        <v>0.30927835051546393</v>
      </c>
      <c r="DD164" s="9">
        <f ca="1">$DC164+$CA164</f>
        <v>0.36603700001799178</v>
      </c>
      <c r="DE164" s="9">
        <f ca="1">$DC164-$CA164</f>
        <v>0.25251970101293608</v>
      </c>
      <c r="DF164" s="10">
        <f t="shared" ca="1" si="87"/>
        <v>0.1835196333915067</v>
      </c>
    </row>
    <row r="165" spans="1:110" s="8" customFormat="1" ht="32.4" customHeight="1">
      <c r="A165" s="206" t="s">
        <v>601</v>
      </c>
      <c r="B165" s="208" t="s">
        <v>2344</v>
      </c>
      <c r="C165" s="206" t="str">
        <f t="shared" si="118"/>
        <v>Parameter-Variation: Lambda_Insulation_Effective = 0,060 W/(m·K)</v>
      </c>
      <c r="D165" s="206"/>
      <c r="E165" s="206" t="s">
        <v>200</v>
      </c>
      <c r="F165" s="206" t="str">
        <f t="shared" si="119"/>
        <v>0,060 W/(m·K)</v>
      </c>
      <c r="G165" s="206" t="s">
        <v>2170</v>
      </c>
      <c r="H165" s="206" t="s">
        <v>2171</v>
      </c>
      <c r="I165" s="156" t="s">
        <v>80</v>
      </c>
      <c r="J165" s="156" t="s">
        <v>134</v>
      </c>
      <c r="K165" s="156" t="s">
        <v>155</v>
      </c>
      <c r="L165" s="156" t="s">
        <v>66</v>
      </c>
      <c r="M165" s="156" t="s">
        <v>188</v>
      </c>
      <c r="N165" s="7">
        <v>1960</v>
      </c>
      <c r="O165" s="156">
        <v>1</v>
      </c>
      <c r="P165" s="156">
        <v>0</v>
      </c>
      <c r="Q165" s="156" t="s">
        <v>435</v>
      </c>
      <c r="R165" s="156" t="s">
        <v>58</v>
      </c>
      <c r="S165" s="19">
        <v>12</v>
      </c>
      <c r="T165" s="19">
        <v>1</v>
      </c>
      <c r="U165" s="19">
        <v>2016</v>
      </c>
      <c r="V165" s="19">
        <f t="shared" ref="V165:V167" si="123">V164+0.01</f>
        <v>0.06</v>
      </c>
      <c r="W165" s="28" t="s">
        <v>59</v>
      </c>
      <c r="X165" s="19" t="e">
        <v>#N/A</v>
      </c>
      <c r="Y165" s="105">
        <f ca="1">IFERROR(OFFSET(Tab.Const.ConstrBorder!$A$1,MATCH(Q165,Tab.Const.ConstrBorder!$A:$A,0)-1,MATCH(Y$87,Tab.Const.ConstrBorder!$1:$1,0)-1),0)</f>
        <v>0</v>
      </c>
      <c r="Z165" s="18">
        <f t="shared" si="110"/>
        <v>1960</v>
      </c>
      <c r="AA165" s="17">
        <f>MATCH(Z165,Tab.Year.Period!$11:$11,1)-3</f>
        <v>5</v>
      </c>
      <c r="AB165" s="17">
        <f>MATCH(AB$88&amp;"."&amp;TEXT(AA165,"00"),Tab.U.Default!$A:$A,0)</f>
        <v>28</v>
      </c>
      <c r="AC165" s="105">
        <f ca="1">OFFSET(Tab.U.Default!$A$1,$AB165-1,MATCH("U_Class_"&amp;IF($J165="TopCeiling","UpperCeiling",$J165)&amp;"_"&amp;AC$87,Tab.U.Default!$1:$1,0)-1)</f>
        <v>1.2</v>
      </c>
      <c r="AD165" s="105">
        <f ca="1">OFFSET(Tab.U.Default!$A$1,$AB165-1,MATCH("U_Class_"&amp;IF($J165="TopCeiling","UpperCeiling",$J165)&amp;"_"&amp;AD$87,Tab.U.Default!$1:$1,0)-1)</f>
        <v>1.2</v>
      </c>
      <c r="AE165" s="105">
        <f ca="1">OFFSET(Tab.U.Default!$A$1,$AB165-1,MATCH("U_Class_"&amp;IF($J165="TopCeiling","UpperCeiling",$J165)&amp;"_"&amp;AE$87,Tab.U.Default!$1:$1,0)-1)</f>
        <v>0.8</v>
      </c>
      <c r="AF165" s="26">
        <f t="shared" ca="1" si="96"/>
        <v>1.2</v>
      </c>
      <c r="AG165" s="26">
        <f t="shared" ca="1" si="97"/>
        <v>1.2</v>
      </c>
      <c r="AH165" s="18" t="str">
        <f t="shared" ref="AH165:AH196" si="124">IF(R165&lt;&gt;"_NA_",R165,IF(Z165&lt;AH$88,"Refurbish","Original"))</f>
        <v>Refurbish</v>
      </c>
      <c r="AI165" s="18" t="str">
        <f t="shared" si="111"/>
        <v>Add</v>
      </c>
      <c r="AJ165" s="18">
        <f t="shared" si="98"/>
        <v>2016</v>
      </c>
      <c r="AK165" s="17">
        <f>MATCH(AJ165,Tab.Year.Period!$11:$11,1)-3</f>
        <v>12</v>
      </c>
      <c r="AL165" s="17">
        <f>MATCH(AL$88&amp;"."&amp;TEXT(AK165,"00"),Tab.Insulation.Default!$A:$A,0)</f>
        <v>23</v>
      </c>
      <c r="AM165" s="20" t="e">
        <f ca="1">IF(ISNA(IF(S165="",#N/A,S165)),OFFSET(Tab.Insulation.Default!$A$1,$AL165-1,MATCH(AM$87&amp;"_"&amp;$K165,Tab.Insulation.Default!$1:$1,0)-1),#N/A)</f>
        <v>#N/A</v>
      </c>
      <c r="AN165" s="27">
        <f t="shared" si="112"/>
        <v>12</v>
      </c>
      <c r="AO165" s="22" t="e">
        <f ca="1">IF(ISNA(IF(V165="",#N/A,V165)),OFFSET(Tab.Insulation.Default!$A$1,$AL165-1,MATCH(AO$87&amp;"_"&amp;$K165,Tab.Insulation.Default!$1:$1,0)-1),#N/A)</f>
        <v>#N/A</v>
      </c>
      <c r="AP165" s="23">
        <f t="shared" si="113"/>
        <v>0.06</v>
      </c>
      <c r="AQ165" s="29" t="str">
        <f t="shared" ref="AQ165:AQ196" si="125">"Gen.Refurbished."&amp;TEXT(AK165,"00")</f>
        <v>Gen.Refurbished.12</v>
      </c>
      <c r="AR165" s="17">
        <f>MATCH(AR$88&amp;"."&amp;AQ165,Tab.Measure.f.Default!$A:$A,0)</f>
        <v>23</v>
      </c>
      <c r="AS165" s="21">
        <f ca="1">OFFSET(Tab.Measure.f.Default!$A$1,AR165-1,MATCH(AS$87&amp;"_"&amp;$J165,Tab.Measure.f.Default!$1:$1,0)-1)</f>
        <v>0.75</v>
      </c>
      <c r="AT165" s="29" t="str">
        <f t="shared" ref="AT165:AT196" si="126">I165&amp;".NA."&amp;TEXT(AA165,"00")</f>
        <v>MUH.NA.05</v>
      </c>
      <c r="AU165" s="17">
        <f>MATCH(AU$88&amp;"."&amp;AT165,Tab.Measure.f.Default!$A:$A,0)</f>
        <v>40</v>
      </c>
      <c r="AV165" s="21">
        <f ca="1">OFFSET(Tab.Measure.f.Default!$A$1,AU165-1,MATCH(AV$87&amp;"_"&amp;$J165,Tab.Measure.f.Default!$1:$1,0)-1)</f>
        <v>0.37</v>
      </c>
      <c r="AW165" s="30">
        <f t="shared" si="114"/>
        <v>1</v>
      </c>
      <c r="AX165" s="9">
        <f t="shared" ref="AX165:AX196" ca="1" si="127">1/AG165</f>
        <v>0.83333333333333337</v>
      </c>
      <c r="AY165" s="9">
        <f t="shared" ref="AY165:AY196" si="128">IF(AW165&gt;0,AN165/100/AP165,0)</f>
        <v>2</v>
      </c>
      <c r="AZ165" s="9">
        <f t="shared" ca="1" si="120"/>
        <v>2.8333333333333335</v>
      </c>
      <c r="BA165" s="9">
        <f t="shared" ca="1" si="121"/>
        <v>0.3529411764705882</v>
      </c>
      <c r="BB165" s="9">
        <f t="shared" ref="BB165:BB196" ca="1" si="129">(1-AW165)*AG165+AW165*BA165</f>
        <v>0.3529411764705882</v>
      </c>
      <c r="BC165" s="32" t="str">
        <f t="shared" ref="BC165:BC196" si="130">IF(IFERROR(IF(N165="",#N/A,N165),0)=0,"E",IF(N165&gt;=1995,"B",IF(N165&gt;=1983,"C","D")))</f>
        <v>D</v>
      </c>
      <c r="BD165" s="20" t="str">
        <f ca="1">OFFSET(Tab.Uncertainty.Levels!$A$1,MATCH(BD$88,Tab.Uncertainty.Levels!$A:$A,0)-1,MATCH(BD$87&amp;"_"&amp;BC165,Tab.Uncertainty.Levels!$1:$1,0)-1)</f>
        <v>Use of default values; building constructed until 1983</v>
      </c>
      <c r="BE165" s="24">
        <f ca="1">OFFSET(Tab.Uncertainty.Levels!$A$1,MATCH(BE$88,Tab.Uncertainty.Levels!$A:$A,0)-1,MATCH(BE$87&amp;"_"&amp;BC165,Tab.Uncertainty.Levels!$1:$1,0)-1)</f>
        <v>0.3</v>
      </c>
      <c r="BF165" s="32" t="str">
        <f t="shared" ref="BF165:BF196" si="131">IF(AND(NOT(M165="Manual"),ISNA(IF($X165="",#N/A,$X165))),"-",IF($L165="DesignDataPlusQA","A",IF($L165="DesignData","B",IF($L165="InspectionOnSite","C",IF($L165="NoDataSource","E","D")))))</f>
        <v>-</v>
      </c>
      <c r="BG165" s="20" t="e">
        <f ca="1">OFFSET(Tab.Uncertainty.Levels!$A$1,MATCH(BG$88,Tab.Uncertainty.Levels!$A:$A,0)-1,MATCH(BG$87&amp;"_"&amp;BF165,Tab.Uncertainty.Levels!$1:$1,0)-1)</f>
        <v>#N/A</v>
      </c>
      <c r="BH165" s="24" t="e">
        <f ca="1">OFFSET(Tab.Uncertainty.Levels!$A$1,MATCH(BH$88,Tab.Uncertainty.Levels!$A:$A,0)-1,MATCH(BH$87&amp;"_"&amp;BF165,Tab.Uncertainty.Levels!$1:$1,0)-1)</f>
        <v>#N/A</v>
      </c>
      <c r="BI165" s="32" t="str">
        <f t="shared" si="31"/>
        <v>D</v>
      </c>
      <c r="BJ165" s="13">
        <f ca="1">IF(BF165="-",BE165,BH165)</f>
        <v>0.3</v>
      </c>
      <c r="BK165" s="32" t="str">
        <f>IF(OR($L165="NoDataSource",IFERROR(IF($S165="",#N/A,$S165),0)=0),IF(IFERROR(IF(U165="",#N/A,U165),0)=0,"E","D"),IF($L165="DesignDataPlusQA","A",IF($L165="DesignData","B","C")))</f>
        <v>C</v>
      </c>
      <c r="BL165" s="20" t="str">
        <f ca="1">OFFSET(Tab.Uncertainty.Levels!$A$1,MATCH(BL$88,Tab.Uncertainty.Levels!$A:$A,0)-1,MATCH(BL$87&amp;"_"&amp;BK165,Tab.Uncertainty.Levels!$1:$1,0)-1)</f>
        <v>Insulation thickness determined by inspection onsite / record or statement of owner</v>
      </c>
      <c r="BM165" s="24">
        <f ca="1">OFFSET(Tab.Uncertainty.Levels!$A$1,MATCH(BM$88,Tab.Uncertainty.Levels!$A:$A,0)-1,MATCH(BM$87&amp;"_"&amp;BK165,Tab.Uncertainty.Levels!$1:$1,0)-1)</f>
        <v>0.25</v>
      </c>
      <c r="BN165" s="34">
        <f ca="1">OFFSET(Tab.Uncertainty.Levels!$A$1,MATCH(BN$88,Tab.Uncertainty.Levels!$A:$A,0)-1,MATCH(BN$87&amp;"_"&amp;BK165,Tab.Uncertainty.Levels!$1:$1,0)-1)</f>
        <v>2</v>
      </c>
      <c r="BO165" s="13">
        <f ca="1">IFERROR(MIN(BM165,BN165/AN165),0)</f>
        <v>0.16666666666666666</v>
      </c>
      <c r="BP165" s="32" t="str">
        <f>IF(OR($L165="NoDataSource",IFERROR(IF($V165="",#N/A,$V165),0)=0),IF(IFERROR(IF(U165="",#N/A,U165),0)=0,"E","D"),IF($L165="DesignDataPlusQA","A",IF($L165="DesignData","B","C")))</f>
        <v>C</v>
      </c>
      <c r="BQ165" s="20" t="str">
        <f ca="1">OFFSET(Tab.Uncertainty.Levels!$A$1,MATCH(BQ$88,Tab.Uncertainty.Levels!$A:$A,0)-1,MATCH(BQ$87&amp;"_"&amp;BP165,Tab.Uncertainty.Levels!$1:$1,0)-1)</f>
        <v>Thermal conductivity of Insulation determined by inspection onsite / record or statement of owner</v>
      </c>
      <c r="BR165" s="97">
        <f ca="1">OFFSET(Tab.Uncertainty.Levels!$A$1,MATCH(BR$88,Tab.Uncertainty.Levels!$A:$A,0)-1,MATCH(BR$87&amp;"_"&amp;BP165,Tab.Uncertainty.Levels!$1:$1,0)-1)</f>
        <v>0.15</v>
      </c>
      <c r="BS165" s="32" t="str">
        <f>IF(L165="NoDataSource","D",IF(IFERROR(IF($T165="",#N/A,$T165),0)=0,IF(OR(IFERROR(IF($S165="",#N/A,$S165),0)&gt;0,$R165="Refurbish"),"D","E"),IF($L165="DesignDataPlusQA","A",IF($L165="DesignData","B","C"))))</f>
        <v>C</v>
      </c>
      <c r="BT165" s="20" t="str">
        <f ca="1">OFFSET(Tab.Uncertainty.Levels!$A$1,MATCH(BT$88,Tab.Uncertainty.Levels!$A:$A,0)-1,MATCH(BT$87&amp;"_"&amp;BS165,Tab.Uncertainty.Levels!$1:$1,0)-1)</f>
        <v>Insulation fraction determined by inspection onsite / record or statement of owner</v>
      </c>
      <c r="BU165" s="33">
        <f ca="1">OFFSET(Tab.Uncertainty.Levels!$A$1,MATCH(BU$88,Tab.Uncertainty.Levels!$A:$A,0)-1,MATCH(BU$87&amp;"_"&amp;BS165,Tab.Uncertainty.Levels!$1:$1,0)-1)</f>
        <v>0.2</v>
      </c>
      <c r="BV165" s="13">
        <f ca="1">IFERROR(MIN(BU165/AW165,1,(1-AW165)/AW165),0)</f>
        <v>0</v>
      </c>
      <c r="BW165" s="96">
        <f ca="1">ABS(1+(AW165*(1/(1+AN165/100/AP165*AG165)^2-1)))*BJ165*$AG165</f>
        <v>3.1141868512110725E-2</v>
      </c>
      <c r="BX165" s="96">
        <f ca="1">ABS(-AG165+1/(1/AG165+AN165/100/AP165))*BV165*AW165</f>
        <v>0</v>
      </c>
      <c r="BY165" s="96">
        <f ca="1">ABS(-AW165*AP165/((AP165/AG165+AN165/100)^2))*(BO165*AN165/100)</f>
        <v>4.1522491349480974E-2</v>
      </c>
      <c r="BZ165" s="202">
        <f ca="1">ABS(AW165*AN165/100/(1/AG165*AP165+AN165/100)^2)*(BR165*AP165)</f>
        <v>3.7370242214532876E-2</v>
      </c>
      <c r="CA165" s="103">
        <f t="shared" ca="1" si="117"/>
        <v>6.3956768722834734E-2</v>
      </c>
      <c r="CB165" s="37">
        <f t="shared" ref="CB165:CB196" ca="1" si="132">BW165/$BB165</f>
        <v>8.8235294117647065E-2</v>
      </c>
      <c r="CC165" s="37">
        <f t="shared" ref="CC165:CC196" ca="1" si="133">BX165/$BB165</f>
        <v>0</v>
      </c>
      <c r="CD165" s="37">
        <f t="shared" ref="CD165:CD196" ca="1" si="134">BY165/$BB165</f>
        <v>0.11764705882352944</v>
      </c>
      <c r="CE165" s="37">
        <f t="shared" ref="CE165:CE196" ca="1" si="135">BZ165/$BB165</f>
        <v>0.1058823529411765</v>
      </c>
      <c r="CF165" s="13">
        <f t="shared" ref="CF165:CF196" ca="1" si="136">SQRT(SUMPRODUCT(CB165:CE165,CB165:CE165))</f>
        <v>0.18121084471469842</v>
      </c>
      <c r="CG165" s="101">
        <f ca="1">AG165</f>
        <v>1.2</v>
      </c>
      <c r="CH165" s="101">
        <f>AW165</f>
        <v>1</v>
      </c>
      <c r="CI165" s="203">
        <f>IF(CH165&gt;0,AN165,0)</f>
        <v>12</v>
      </c>
      <c r="CJ165" s="102">
        <f>IF(AND(CH165&gt;0,CI165&gt;0),AP165,0)</f>
        <v>0.06</v>
      </c>
      <c r="CK165" s="102">
        <f ca="1">BB165</f>
        <v>0.3529411764705882</v>
      </c>
      <c r="CL165" s="37">
        <f t="shared" ca="1" si="99"/>
        <v>0.3</v>
      </c>
      <c r="CM165" s="37">
        <f t="shared" ca="1" si="100"/>
        <v>0</v>
      </c>
      <c r="CN165" s="37">
        <f t="shared" ca="1" si="101"/>
        <v>0.16666666666666666</v>
      </c>
      <c r="CO165" s="37">
        <f t="shared" ca="1" si="102"/>
        <v>0.15</v>
      </c>
      <c r="CP165" s="37">
        <f t="shared" ca="1" si="103"/>
        <v>0.18121084471469842</v>
      </c>
      <c r="CQ165" s="95">
        <f t="shared" ca="1" si="104"/>
        <v>0.36</v>
      </c>
      <c r="CR165" s="95">
        <f t="shared" ca="1" si="105"/>
        <v>0</v>
      </c>
      <c r="CS165" s="95">
        <f t="shared" ca="1" si="106"/>
        <v>2</v>
      </c>
      <c r="CT165" s="103">
        <f t="shared" ca="1" si="107"/>
        <v>8.9999999999999993E-3</v>
      </c>
      <c r="CU165" s="95">
        <f t="shared" ca="1" si="108"/>
        <v>6.3956768722834734E-2</v>
      </c>
      <c r="CV165" s="37">
        <f ca="1">$CB165^2/$CF165^2</f>
        <v>0.23709167544783979</v>
      </c>
      <c r="CW165" s="37">
        <f ca="1">$CD165^2/$CF165^2</f>
        <v>0.42149631190727083</v>
      </c>
      <c r="CX165" s="37">
        <f ca="1">$CE165^2/$CF165^2</f>
        <v>0.34141201264488941</v>
      </c>
      <c r="CY165" s="37">
        <f ca="1">$CC165^2/$CF165^2</f>
        <v>0</v>
      </c>
      <c r="DA165" s="98" t="s">
        <v>214</v>
      </c>
      <c r="DB165" s="36">
        <f ca="1">OFFSET($A$1,ROW(DB165)-1,MATCH(DA165,$1:$1,0)-1)</f>
        <v>12</v>
      </c>
      <c r="DC165" s="9">
        <f ca="1">BB165</f>
        <v>0.3529411764705882</v>
      </c>
      <c r="DD165" s="9">
        <f ca="1">$DC165+$CA165</f>
        <v>0.41689794519342294</v>
      </c>
      <c r="DE165" s="9">
        <f ca="1">$DC165-$CA165</f>
        <v>0.28898440774775347</v>
      </c>
      <c r="DF165" s="10">
        <f t="shared" ca="1" si="87"/>
        <v>0.18121084471469842</v>
      </c>
    </row>
    <row r="166" spans="1:110" s="8" customFormat="1" ht="32.4" customHeight="1">
      <c r="A166" s="206" t="s">
        <v>602</v>
      </c>
      <c r="B166" s="208" t="s">
        <v>2344</v>
      </c>
      <c r="C166" s="206" t="str">
        <f t="shared" si="118"/>
        <v>Parameter-Variation: Lambda_Insulation_Effective = 0,070 W/(m·K)</v>
      </c>
      <c r="D166" s="206"/>
      <c r="E166" s="206" t="s">
        <v>200</v>
      </c>
      <c r="F166" s="206" t="str">
        <f t="shared" si="119"/>
        <v>0,070 W/(m·K)</v>
      </c>
      <c r="G166" s="206" t="s">
        <v>2170</v>
      </c>
      <c r="H166" s="206" t="s">
        <v>2171</v>
      </c>
      <c r="I166" s="156" t="s">
        <v>80</v>
      </c>
      <c r="J166" s="156" t="s">
        <v>134</v>
      </c>
      <c r="K166" s="156" t="s">
        <v>155</v>
      </c>
      <c r="L166" s="156" t="s">
        <v>66</v>
      </c>
      <c r="M166" s="156" t="s">
        <v>188</v>
      </c>
      <c r="N166" s="7">
        <v>1960</v>
      </c>
      <c r="O166" s="156">
        <v>1</v>
      </c>
      <c r="P166" s="156">
        <v>0</v>
      </c>
      <c r="Q166" s="156" t="s">
        <v>435</v>
      </c>
      <c r="R166" s="156" t="s">
        <v>58</v>
      </c>
      <c r="S166" s="19">
        <v>12</v>
      </c>
      <c r="T166" s="19">
        <v>1</v>
      </c>
      <c r="U166" s="19">
        <v>2016</v>
      </c>
      <c r="V166" s="19">
        <f t="shared" si="123"/>
        <v>6.9999999999999993E-2</v>
      </c>
      <c r="W166" s="28" t="s">
        <v>59</v>
      </c>
      <c r="X166" s="19" t="e">
        <v>#N/A</v>
      </c>
      <c r="Y166" s="105">
        <f ca="1">IFERROR(OFFSET(Tab.Const.ConstrBorder!$A$1,MATCH(Q166,Tab.Const.ConstrBorder!$A:$A,0)-1,MATCH(Y$87,Tab.Const.ConstrBorder!$1:$1,0)-1),0)</f>
        <v>0</v>
      </c>
      <c r="Z166" s="18">
        <f t="shared" si="110"/>
        <v>1960</v>
      </c>
      <c r="AA166" s="17">
        <f>MATCH(Z166,Tab.Year.Period!$11:$11,1)-3</f>
        <v>5</v>
      </c>
      <c r="AB166" s="17">
        <f>MATCH(AB$88&amp;"."&amp;TEXT(AA166,"00"),Tab.U.Default!$A:$A,0)</f>
        <v>28</v>
      </c>
      <c r="AC166" s="105">
        <f ca="1">OFFSET(Tab.U.Default!$A$1,$AB166-1,MATCH("U_Class_"&amp;IF($J166="TopCeiling","UpperCeiling",$J166)&amp;"_"&amp;AC$87,Tab.U.Default!$1:$1,0)-1)</f>
        <v>1.2</v>
      </c>
      <c r="AD166" s="105">
        <f ca="1">OFFSET(Tab.U.Default!$A$1,$AB166-1,MATCH("U_Class_"&amp;IF($J166="TopCeiling","UpperCeiling",$J166)&amp;"_"&amp;AD$87,Tab.U.Default!$1:$1,0)-1)</f>
        <v>1.2</v>
      </c>
      <c r="AE166" s="105">
        <f ca="1">OFFSET(Tab.U.Default!$A$1,$AB166-1,MATCH("U_Class_"&amp;IF($J166="TopCeiling","UpperCeiling",$J166)&amp;"_"&amp;AE$87,Tab.U.Default!$1:$1,0)-1)</f>
        <v>0.8</v>
      </c>
      <c r="AF166" s="26">
        <f t="shared" ca="1" si="96"/>
        <v>1.2</v>
      </c>
      <c r="AG166" s="26">
        <f t="shared" ca="1" si="97"/>
        <v>1.2</v>
      </c>
      <c r="AH166" s="18" t="str">
        <f t="shared" si="124"/>
        <v>Refurbish</v>
      </c>
      <c r="AI166" s="18" t="str">
        <f t="shared" si="111"/>
        <v>Add</v>
      </c>
      <c r="AJ166" s="18">
        <f t="shared" si="98"/>
        <v>2016</v>
      </c>
      <c r="AK166" s="17">
        <f>MATCH(AJ166,Tab.Year.Period!$11:$11,1)-3</f>
        <v>12</v>
      </c>
      <c r="AL166" s="17">
        <f>MATCH(AL$88&amp;"."&amp;TEXT(AK166,"00"),Tab.Insulation.Default!$A:$A,0)</f>
        <v>23</v>
      </c>
      <c r="AM166" s="20" t="e">
        <f ca="1">IF(ISNA(IF(S166="",#N/A,S166)),OFFSET(Tab.Insulation.Default!$A$1,$AL166-1,MATCH(AM$87&amp;"_"&amp;$K166,Tab.Insulation.Default!$1:$1,0)-1),#N/A)</f>
        <v>#N/A</v>
      </c>
      <c r="AN166" s="27">
        <f t="shared" si="112"/>
        <v>12</v>
      </c>
      <c r="AO166" s="22" t="e">
        <f ca="1">IF(ISNA(IF(V166="",#N/A,V166)),OFFSET(Tab.Insulation.Default!$A$1,$AL166-1,MATCH(AO$87&amp;"_"&amp;$K166,Tab.Insulation.Default!$1:$1,0)-1),#N/A)</f>
        <v>#N/A</v>
      </c>
      <c r="AP166" s="23">
        <f t="shared" si="113"/>
        <v>6.9999999999999993E-2</v>
      </c>
      <c r="AQ166" s="29" t="str">
        <f t="shared" si="125"/>
        <v>Gen.Refurbished.12</v>
      </c>
      <c r="AR166" s="17">
        <f>MATCH(AR$88&amp;"."&amp;AQ166,Tab.Measure.f.Default!$A:$A,0)</f>
        <v>23</v>
      </c>
      <c r="AS166" s="21">
        <f ca="1">OFFSET(Tab.Measure.f.Default!$A$1,AR166-1,MATCH(AS$87&amp;"_"&amp;$J166,Tab.Measure.f.Default!$1:$1,0)-1)</f>
        <v>0.75</v>
      </c>
      <c r="AT166" s="29" t="str">
        <f t="shared" si="126"/>
        <v>MUH.NA.05</v>
      </c>
      <c r="AU166" s="17">
        <f>MATCH(AU$88&amp;"."&amp;AT166,Tab.Measure.f.Default!$A:$A,0)</f>
        <v>40</v>
      </c>
      <c r="AV166" s="21">
        <f ca="1">OFFSET(Tab.Measure.f.Default!$A$1,AU166-1,MATCH(AV$87&amp;"_"&amp;$J166,Tab.Measure.f.Default!$1:$1,0)-1)</f>
        <v>0.37</v>
      </c>
      <c r="AW166" s="30">
        <f t="shared" si="114"/>
        <v>1</v>
      </c>
      <c r="AX166" s="9">
        <f t="shared" ca="1" si="127"/>
        <v>0.83333333333333337</v>
      </c>
      <c r="AY166" s="9">
        <f t="shared" si="128"/>
        <v>1.7142857142857144</v>
      </c>
      <c r="AZ166" s="9">
        <f t="shared" ca="1" si="120"/>
        <v>2.5476190476190479</v>
      </c>
      <c r="BA166" s="9">
        <f t="shared" ca="1" si="121"/>
        <v>0.39252336448598124</v>
      </c>
      <c r="BB166" s="9">
        <f t="shared" ca="1" si="129"/>
        <v>0.39252336448598124</v>
      </c>
      <c r="BC166" s="32" t="str">
        <f t="shared" si="130"/>
        <v>D</v>
      </c>
      <c r="BD166" s="20" t="str">
        <f ca="1">OFFSET(Tab.Uncertainty.Levels!$A$1,MATCH(BD$88,Tab.Uncertainty.Levels!$A:$A,0)-1,MATCH(BD$87&amp;"_"&amp;BC166,Tab.Uncertainty.Levels!$1:$1,0)-1)</f>
        <v>Use of default values; building constructed until 1983</v>
      </c>
      <c r="BE166" s="24">
        <f ca="1">OFFSET(Tab.Uncertainty.Levels!$A$1,MATCH(BE$88,Tab.Uncertainty.Levels!$A:$A,0)-1,MATCH(BE$87&amp;"_"&amp;BC166,Tab.Uncertainty.Levels!$1:$1,0)-1)</f>
        <v>0.3</v>
      </c>
      <c r="BF166" s="32" t="str">
        <f t="shared" si="131"/>
        <v>-</v>
      </c>
      <c r="BG166" s="20" t="e">
        <f ca="1">OFFSET(Tab.Uncertainty.Levels!$A$1,MATCH(BG$88,Tab.Uncertainty.Levels!$A:$A,0)-1,MATCH(BG$87&amp;"_"&amp;BF166,Tab.Uncertainty.Levels!$1:$1,0)-1)</f>
        <v>#N/A</v>
      </c>
      <c r="BH166" s="24" t="e">
        <f ca="1">OFFSET(Tab.Uncertainty.Levels!$A$1,MATCH(BH$88,Tab.Uncertainty.Levels!$A:$A,0)-1,MATCH(BH$87&amp;"_"&amp;BF166,Tab.Uncertainty.Levels!$1:$1,0)-1)</f>
        <v>#N/A</v>
      </c>
      <c r="BI166" s="32" t="str">
        <f t="shared" ref="BI166:BI229" si="137">IF(BF166="-",BC166,BF166)</f>
        <v>D</v>
      </c>
      <c r="BJ166" s="13">
        <f ca="1">IF(BF166="-",BE166,BH166)</f>
        <v>0.3</v>
      </c>
      <c r="BK166" s="32" t="str">
        <f>IF(OR($L166="NoDataSource",IFERROR(IF($S166="",#N/A,$S166),0)=0),IF(IFERROR(IF(U166="",#N/A,U166),0)=0,"E","D"),IF($L166="DesignDataPlusQA","A",IF($L166="DesignData","B","C")))</f>
        <v>C</v>
      </c>
      <c r="BL166" s="20" t="str">
        <f ca="1">OFFSET(Tab.Uncertainty.Levels!$A$1,MATCH(BL$88,Tab.Uncertainty.Levels!$A:$A,0)-1,MATCH(BL$87&amp;"_"&amp;BK166,Tab.Uncertainty.Levels!$1:$1,0)-1)</f>
        <v>Insulation thickness determined by inspection onsite / record or statement of owner</v>
      </c>
      <c r="BM166" s="24">
        <f ca="1">OFFSET(Tab.Uncertainty.Levels!$A$1,MATCH(BM$88,Tab.Uncertainty.Levels!$A:$A,0)-1,MATCH(BM$87&amp;"_"&amp;BK166,Tab.Uncertainty.Levels!$1:$1,0)-1)</f>
        <v>0.25</v>
      </c>
      <c r="BN166" s="34">
        <f ca="1">OFFSET(Tab.Uncertainty.Levels!$A$1,MATCH(BN$88,Tab.Uncertainty.Levels!$A:$A,0)-1,MATCH(BN$87&amp;"_"&amp;BK166,Tab.Uncertainty.Levels!$1:$1,0)-1)</f>
        <v>2</v>
      </c>
      <c r="BO166" s="13">
        <f ca="1">IFERROR(MIN(BM166,BN166/AN166),0)</f>
        <v>0.16666666666666666</v>
      </c>
      <c r="BP166" s="32" t="str">
        <f>IF(OR($L166="NoDataSource",IFERROR(IF($V166="",#N/A,$V166),0)=0),IF(IFERROR(IF(U166="",#N/A,U166),0)=0,"E","D"),IF($L166="DesignDataPlusQA","A",IF($L166="DesignData","B","C")))</f>
        <v>C</v>
      </c>
      <c r="BQ166" s="20" t="str">
        <f ca="1">OFFSET(Tab.Uncertainty.Levels!$A$1,MATCH(BQ$88,Tab.Uncertainty.Levels!$A:$A,0)-1,MATCH(BQ$87&amp;"_"&amp;BP166,Tab.Uncertainty.Levels!$1:$1,0)-1)</f>
        <v>Thermal conductivity of Insulation determined by inspection onsite / record or statement of owner</v>
      </c>
      <c r="BR166" s="97">
        <f ca="1">OFFSET(Tab.Uncertainty.Levels!$A$1,MATCH(BR$88,Tab.Uncertainty.Levels!$A:$A,0)-1,MATCH(BR$87&amp;"_"&amp;BP166,Tab.Uncertainty.Levels!$1:$1,0)-1)</f>
        <v>0.15</v>
      </c>
      <c r="BS166" s="32" t="str">
        <f>IF(L166="NoDataSource","D",IF(IFERROR(IF($T166="",#N/A,$T166),0)=0,IF(OR(IFERROR(IF($S166="",#N/A,$S166),0)&gt;0,$R166="Refurbish"),"D","E"),IF($L166="DesignDataPlusQA","A",IF($L166="DesignData","B","C"))))</f>
        <v>C</v>
      </c>
      <c r="BT166" s="20" t="str">
        <f ca="1">OFFSET(Tab.Uncertainty.Levels!$A$1,MATCH(BT$88,Tab.Uncertainty.Levels!$A:$A,0)-1,MATCH(BT$87&amp;"_"&amp;BS166,Tab.Uncertainty.Levels!$1:$1,0)-1)</f>
        <v>Insulation fraction determined by inspection onsite / record or statement of owner</v>
      </c>
      <c r="BU166" s="33">
        <f ca="1">OFFSET(Tab.Uncertainty.Levels!$A$1,MATCH(BU$88,Tab.Uncertainty.Levels!$A:$A,0)-1,MATCH(BU$87&amp;"_"&amp;BS166,Tab.Uncertainty.Levels!$1:$1,0)-1)</f>
        <v>0.2</v>
      </c>
      <c r="BV166" s="13">
        <f ca="1">IFERROR(MIN(BU166/AW166,1,(1-AW166)/AW166),0)</f>
        <v>0</v>
      </c>
      <c r="BW166" s="96">
        <f ca="1">ABS(1+(AW166*(1/(1+AN166/100/AP166*AG166)^2-1)))*BJ166*$AG166</f>
        <v>3.8518647916848628E-2</v>
      </c>
      <c r="BX166" s="96">
        <f ca="1">ABS(-AG166+1/(1/AG166+AN166/100/AP166))*BV166*AW166</f>
        <v>0</v>
      </c>
      <c r="BY166" s="96">
        <f ca="1">ABS(-AW166*AP166/((AP166/AG166+AN166/100)^2))*(BO166*AN166/100)</f>
        <v>4.402131190496987E-2</v>
      </c>
      <c r="BZ166" s="202">
        <f ca="1">ABS(AW166*AN166/100/(1/AG166*AP166+AN166/100)^2)*(BR166*AP166)</f>
        <v>3.9619180714472887E-2</v>
      </c>
      <c r="CA166" s="103">
        <f t="shared" ca="1" si="117"/>
        <v>7.0648719872782192E-2</v>
      </c>
      <c r="CB166" s="37">
        <f t="shared" ca="1" si="132"/>
        <v>9.8130841121495324E-2</v>
      </c>
      <c r="CC166" s="37">
        <f t="shared" ca="1" si="133"/>
        <v>0</v>
      </c>
      <c r="CD166" s="37">
        <f t="shared" ca="1" si="134"/>
        <v>0.1121495327102804</v>
      </c>
      <c r="CE166" s="37">
        <f t="shared" ca="1" si="135"/>
        <v>0.10093457943925237</v>
      </c>
      <c r="CF166" s="13">
        <f t="shared" ca="1" si="136"/>
        <v>0.17998602443780226</v>
      </c>
      <c r="CG166" s="101">
        <f ca="1">AG166</f>
        <v>1.2</v>
      </c>
      <c r="CH166" s="101">
        <f>AW166</f>
        <v>1</v>
      </c>
      <c r="CI166" s="203">
        <f>IF(CH166&gt;0,AN166,0)</f>
        <v>12</v>
      </c>
      <c r="CJ166" s="102">
        <f>IF(AND(CH166&gt;0,CI166&gt;0),AP166,0)</f>
        <v>6.9999999999999993E-2</v>
      </c>
      <c r="CK166" s="102">
        <f ca="1">BB166</f>
        <v>0.39252336448598124</v>
      </c>
      <c r="CL166" s="37">
        <f t="shared" ca="1" si="99"/>
        <v>0.3</v>
      </c>
      <c r="CM166" s="37">
        <f t="shared" ca="1" si="100"/>
        <v>0</v>
      </c>
      <c r="CN166" s="37">
        <f t="shared" ca="1" si="101"/>
        <v>0.16666666666666666</v>
      </c>
      <c r="CO166" s="37">
        <f t="shared" ca="1" si="102"/>
        <v>0.15</v>
      </c>
      <c r="CP166" s="37">
        <f t="shared" ca="1" si="103"/>
        <v>0.17998602443780226</v>
      </c>
      <c r="CQ166" s="95">
        <f t="shared" ca="1" si="104"/>
        <v>0.36</v>
      </c>
      <c r="CR166" s="95">
        <f t="shared" ca="1" si="105"/>
        <v>0</v>
      </c>
      <c r="CS166" s="95">
        <f t="shared" ca="1" si="106"/>
        <v>2</v>
      </c>
      <c r="CT166" s="103">
        <f t="shared" ca="1" si="107"/>
        <v>1.0499999999999999E-2</v>
      </c>
      <c r="CU166" s="95">
        <f t="shared" ca="1" si="108"/>
        <v>7.0648719872782179E-2</v>
      </c>
      <c r="CV166" s="37">
        <f ca="1">$CB166^2/$CF166^2</f>
        <v>0.2972579471002183</v>
      </c>
      <c r="CW166" s="37">
        <f ca="1">$CD166^2/$CF166^2</f>
        <v>0.38825527784518332</v>
      </c>
      <c r="CX166" s="37">
        <f ca="1">$CE166^2/$CF166^2</f>
        <v>0.31448677505459849</v>
      </c>
      <c r="CY166" s="37">
        <f ca="1">$CC166^2/$CF166^2</f>
        <v>0</v>
      </c>
      <c r="DA166" s="98" t="s">
        <v>214</v>
      </c>
      <c r="DB166" s="36">
        <f ca="1">OFFSET($A$1,ROW(DB166)-1,MATCH(DA166,$1:$1,0)-1)</f>
        <v>12</v>
      </c>
      <c r="DC166" s="9">
        <f ca="1">BB166</f>
        <v>0.39252336448598124</v>
      </c>
      <c r="DD166" s="9">
        <f ca="1">$DC166+$CA166</f>
        <v>0.46317208435876345</v>
      </c>
      <c r="DE166" s="9">
        <f ca="1">$DC166-$CA166</f>
        <v>0.32187464461319903</v>
      </c>
      <c r="DF166" s="10">
        <f t="shared" ca="1" si="87"/>
        <v>0.17998602443780232</v>
      </c>
    </row>
    <row r="167" spans="1:110" s="8" customFormat="1" ht="32.4" customHeight="1">
      <c r="A167" s="206" t="s">
        <v>603</v>
      </c>
      <c r="B167" s="208" t="s">
        <v>2344</v>
      </c>
      <c r="C167" s="206" t="str">
        <f t="shared" si="118"/>
        <v>Parameter-Variation: Lambda_Insulation_Effective = 0,080 W/(m·K)</v>
      </c>
      <c r="D167" s="206"/>
      <c r="E167" s="206" t="s">
        <v>200</v>
      </c>
      <c r="F167" s="206" t="str">
        <f t="shared" si="119"/>
        <v>0,080 W/(m·K)</v>
      </c>
      <c r="G167" s="206" t="s">
        <v>2170</v>
      </c>
      <c r="H167" s="206" t="s">
        <v>2171</v>
      </c>
      <c r="I167" s="156" t="s">
        <v>80</v>
      </c>
      <c r="J167" s="156" t="s">
        <v>134</v>
      </c>
      <c r="K167" s="156" t="s">
        <v>155</v>
      </c>
      <c r="L167" s="156" t="s">
        <v>66</v>
      </c>
      <c r="M167" s="156" t="s">
        <v>188</v>
      </c>
      <c r="N167" s="7">
        <v>1960</v>
      </c>
      <c r="O167" s="156">
        <v>1</v>
      </c>
      <c r="P167" s="156">
        <v>0</v>
      </c>
      <c r="Q167" s="156" t="s">
        <v>435</v>
      </c>
      <c r="R167" s="156" t="s">
        <v>58</v>
      </c>
      <c r="S167" s="19">
        <v>12</v>
      </c>
      <c r="T167" s="19">
        <v>1</v>
      </c>
      <c r="U167" s="19">
        <v>2016</v>
      </c>
      <c r="V167" s="19">
        <f t="shared" si="123"/>
        <v>7.9999999999999988E-2</v>
      </c>
      <c r="W167" s="28" t="s">
        <v>59</v>
      </c>
      <c r="X167" s="19" t="e">
        <v>#N/A</v>
      </c>
      <c r="Y167" s="105">
        <f ca="1">IFERROR(OFFSET(Tab.Const.ConstrBorder!$A$1,MATCH(Q167,Tab.Const.ConstrBorder!$A:$A,0)-1,MATCH(Y$87,Tab.Const.ConstrBorder!$1:$1,0)-1),0)</f>
        <v>0</v>
      </c>
      <c r="Z167" s="18">
        <f t="shared" si="110"/>
        <v>1960</v>
      </c>
      <c r="AA167" s="17">
        <f>MATCH(Z167,Tab.Year.Period!$11:$11,1)-3</f>
        <v>5</v>
      </c>
      <c r="AB167" s="17">
        <f>MATCH(AB$88&amp;"."&amp;TEXT(AA167,"00"),Tab.U.Default!$A:$A,0)</f>
        <v>28</v>
      </c>
      <c r="AC167" s="105">
        <f ca="1">OFFSET(Tab.U.Default!$A$1,$AB167-1,MATCH("U_Class_"&amp;IF($J167="TopCeiling","UpperCeiling",$J167)&amp;"_"&amp;AC$87,Tab.U.Default!$1:$1,0)-1)</f>
        <v>1.2</v>
      </c>
      <c r="AD167" s="105">
        <f ca="1">OFFSET(Tab.U.Default!$A$1,$AB167-1,MATCH("U_Class_"&amp;IF($J167="TopCeiling","UpperCeiling",$J167)&amp;"_"&amp;AD$87,Tab.U.Default!$1:$1,0)-1)</f>
        <v>1.2</v>
      </c>
      <c r="AE167" s="105">
        <f ca="1">OFFSET(Tab.U.Default!$A$1,$AB167-1,MATCH("U_Class_"&amp;IF($J167="TopCeiling","UpperCeiling",$J167)&amp;"_"&amp;AE$87,Tab.U.Default!$1:$1,0)-1)</f>
        <v>0.8</v>
      </c>
      <c r="AF167" s="26">
        <f t="shared" ca="1" si="96"/>
        <v>1.2</v>
      </c>
      <c r="AG167" s="26">
        <f t="shared" ca="1" si="97"/>
        <v>1.2</v>
      </c>
      <c r="AH167" s="18" t="str">
        <f t="shared" si="124"/>
        <v>Refurbish</v>
      </c>
      <c r="AI167" s="18" t="str">
        <f t="shared" si="111"/>
        <v>Add</v>
      </c>
      <c r="AJ167" s="18">
        <f t="shared" si="98"/>
        <v>2016</v>
      </c>
      <c r="AK167" s="17">
        <f>MATCH(AJ167,Tab.Year.Period!$11:$11,1)-3</f>
        <v>12</v>
      </c>
      <c r="AL167" s="17">
        <f>MATCH(AL$88&amp;"."&amp;TEXT(AK167,"00"),Tab.Insulation.Default!$A:$A,0)</f>
        <v>23</v>
      </c>
      <c r="AM167" s="20" t="e">
        <f ca="1">IF(ISNA(IF(S167="",#N/A,S167)),OFFSET(Tab.Insulation.Default!$A$1,$AL167-1,MATCH(AM$87&amp;"_"&amp;$K167,Tab.Insulation.Default!$1:$1,0)-1),#N/A)</f>
        <v>#N/A</v>
      </c>
      <c r="AN167" s="27">
        <f t="shared" si="112"/>
        <v>12</v>
      </c>
      <c r="AO167" s="22" t="e">
        <f ca="1">IF(ISNA(IF(V167="",#N/A,V167)),OFFSET(Tab.Insulation.Default!$A$1,$AL167-1,MATCH(AO$87&amp;"_"&amp;$K167,Tab.Insulation.Default!$1:$1,0)-1),#N/A)</f>
        <v>#N/A</v>
      </c>
      <c r="AP167" s="23">
        <f t="shared" si="113"/>
        <v>7.9999999999999988E-2</v>
      </c>
      <c r="AQ167" s="29" t="str">
        <f t="shared" si="125"/>
        <v>Gen.Refurbished.12</v>
      </c>
      <c r="AR167" s="17">
        <f>MATCH(AR$88&amp;"."&amp;AQ167,Tab.Measure.f.Default!$A:$A,0)</f>
        <v>23</v>
      </c>
      <c r="AS167" s="21">
        <f ca="1">OFFSET(Tab.Measure.f.Default!$A$1,AR167-1,MATCH(AS$87&amp;"_"&amp;$J167,Tab.Measure.f.Default!$1:$1,0)-1)</f>
        <v>0.75</v>
      </c>
      <c r="AT167" s="29" t="str">
        <f t="shared" si="126"/>
        <v>MUH.NA.05</v>
      </c>
      <c r="AU167" s="17">
        <f>MATCH(AU$88&amp;"."&amp;AT167,Tab.Measure.f.Default!$A:$A,0)</f>
        <v>40</v>
      </c>
      <c r="AV167" s="21">
        <f ca="1">OFFSET(Tab.Measure.f.Default!$A$1,AU167-1,MATCH(AV$87&amp;"_"&amp;$J167,Tab.Measure.f.Default!$1:$1,0)-1)</f>
        <v>0.37</v>
      </c>
      <c r="AW167" s="30">
        <f t="shared" si="114"/>
        <v>1</v>
      </c>
      <c r="AX167" s="9">
        <f t="shared" ca="1" si="127"/>
        <v>0.83333333333333337</v>
      </c>
      <c r="AY167" s="9">
        <f t="shared" si="128"/>
        <v>1.5000000000000002</v>
      </c>
      <c r="AZ167" s="9">
        <f t="shared" ca="1" si="120"/>
        <v>2.3333333333333335</v>
      </c>
      <c r="BA167" s="9">
        <f t="shared" ca="1" si="121"/>
        <v>0.42857142857142855</v>
      </c>
      <c r="BB167" s="9">
        <f t="shared" ca="1" si="129"/>
        <v>0.42857142857142855</v>
      </c>
      <c r="BC167" s="32" t="str">
        <f t="shared" si="130"/>
        <v>D</v>
      </c>
      <c r="BD167" s="20" t="str">
        <f ca="1">OFFSET(Tab.Uncertainty.Levels!$A$1,MATCH(BD$88,Tab.Uncertainty.Levels!$A:$A,0)-1,MATCH(BD$87&amp;"_"&amp;BC167,Tab.Uncertainty.Levels!$1:$1,0)-1)</f>
        <v>Use of default values; building constructed until 1983</v>
      </c>
      <c r="BE167" s="24">
        <f ca="1">OFFSET(Tab.Uncertainty.Levels!$A$1,MATCH(BE$88,Tab.Uncertainty.Levels!$A:$A,0)-1,MATCH(BE$87&amp;"_"&amp;BC167,Tab.Uncertainty.Levels!$1:$1,0)-1)</f>
        <v>0.3</v>
      </c>
      <c r="BF167" s="32" t="str">
        <f t="shared" si="131"/>
        <v>-</v>
      </c>
      <c r="BG167" s="20" t="e">
        <f ca="1">OFFSET(Tab.Uncertainty.Levels!$A$1,MATCH(BG$88,Tab.Uncertainty.Levels!$A:$A,0)-1,MATCH(BG$87&amp;"_"&amp;BF167,Tab.Uncertainty.Levels!$1:$1,0)-1)</f>
        <v>#N/A</v>
      </c>
      <c r="BH167" s="24" t="e">
        <f ca="1">OFFSET(Tab.Uncertainty.Levels!$A$1,MATCH(BH$88,Tab.Uncertainty.Levels!$A:$A,0)-1,MATCH(BH$87&amp;"_"&amp;BF167,Tab.Uncertainty.Levels!$1:$1,0)-1)</f>
        <v>#N/A</v>
      </c>
      <c r="BI167" s="32" t="str">
        <f t="shared" si="137"/>
        <v>D</v>
      </c>
      <c r="BJ167" s="13">
        <f ca="1">IF(BF167="-",BE167,BH167)</f>
        <v>0.3</v>
      </c>
      <c r="BK167" s="32" t="str">
        <f>IF(OR($L167="NoDataSource",IFERROR(IF($S167="",#N/A,$S167),0)=0),IF(IFERROR(IF(U167="",#N/A,U167),0)=0,"E","D"),IF($L167="DesignDataPlusQA","A",IF($L167="DesignData","B","C")))</f>
        <v>C</v>
      </c>
      <c r="BL167" s="20" t="str">
        <f ca="1">OFFSET(Tab.Uncertainty.Levels!$A$1,MATCH(BL$88,Tab.Uncertainty.Levels!$A:$A,0)-1,MATCH(BL$87&amp;"_"&amp;BK167,Tab.Uncertainty.Levels!$1:$1,0)-1)</f>
        <v>Insulation thickness determined by inspection onsite / record or statement of owner</v>
      </c>
      <c r="BM167" s="24">
        <f ca="1">OFFSET(Tab.Uncertainty.Levels!$A$1,MATCH(BM$88,Tab.Uncertainty.Levels!$A:$A,0)-1,MATCH(BM$87&amp;"_"&amp;BK167,Tab.Uncertainty.Levels!$1:$1,0)-1)</f>
        <v>0.25</v>
      </c>
      <c r="BN167" s="34">
        <f ca="1">OFFSET(Tab.Uncertainty.Levels!$A$1,MATCH(BN$88,Tab.Uncertainty.Levels!$A:$A,0)-1,MATCH(BN$87&amp;"_"&amp;BK167,Tab.Uncertainty.Levels!$1:$1,0)-1)</f>
        <v>2</v>
      </c>
      <c r="BO167" s="13">
        <f ca="1">IFERROR(MIN(BM167,BN167/AN167),0)</f>
        <v>0.16666666666666666</v>
      </c>
      <c r="BP167" s="32" t="str">
        <f>IF(OR($L167="NoDataSource",IFERROR(IF($V167="",#N/A,$V167),0)=0),IF(IFERROR(IF(U167="",#N/A,U167),0)=0,"E","D"),IF($L167="DesignDataPlusQA","A",IF($L167="DesignData","B","C")))</f>
        <v>C</v>
      </c>
      <c r="BQ167" s="20" t="str">
        <f ca="1">OFFSET(Tab.Uncertainty.Levels!$A$1,MATCH(BQ$88,Tab.Uncertainty.Levels!$A:$A,0)-1,MATCH(BQ$87&amp;"_"&amp;BP167,Tab.Uncertainty.Levels!$1:$1,0)-1)</f>
        <v>Thermal conductivity of Insulation determined by inspection onsite / record or statement of owner</v>
      </c>
      <c r="BR167" s="97">
        <f ca="1">OFFSET(Tab.Uncertainty.Levels!$A$1,MATCH(BR$88,Tab.Uncertainty.Levels!$A:$A,0)-1,MATCH(BR$87&amp;"_"&amp;BP167,Tab.Uncertainty.Levels!$1:$1,0)-1)</f>
        <v>0.15</v>
      </c>
      <c r="BS167" s="32" t="str">
        <f>IF(L167="NoDataSource","D",IF(IFERROR(IF($T167="",#N/A,$T167),0)=0,IF(OR(IFERROR(IF($S167="",#N/A,$S167),0)&gt;0,$R167="Refurbish"),"D","E"),IF($L167="DesignDataPlusQA","A",IF($L167="DesignData","B","C"))))</f>
        <v>C</v>
      </c>
      <c r="BT167" s="20" t="str">
        <f ca="1">OFFSET(Tab.Uncertainty.Levels!$A$1,MATCH(BT$88,Tab.Uncertainty.Levels!$A:$A,0)-1,MATCH(BT$87&amp;"_"&amp;BS167,Tab.Uncertainty.Levels!$1:$1,0)-1)</f>
        <v>Insulation fraction determined by inspection onsite / record or statement of owner</v>
      </c>
      <c r="BU167" s="33">
        <f ca="1">OFFSET(Tab.Uncertainty.Levels!$A$1,MATCH(BU$88,Tab.Uncertainty.Levels!$A:$A,0)-1,MATCH(BU$87&amp;"_"&amp;BS167,Tab.Uncertainty.Levels!$1:$1,0)-1)</f>
        <v>0.2</v>
      </c>
      <c r="BV167" s="13">
        <f ca="1">IFERROR(MIN(BU167/AW167,1,(1-AW167)/AW167),0)</f>
        <v>0</v>
      </c>
      <c r="BW167" s="96">
        <f ca="1">ABS(1+(AW167*(1/(1+AN167/100/AP167*AG167)^2-1)))*BJ167*$AG167</f>
        <v>4.5918367346938764E-2</v>
      </c>
      <c r="BX167" s="96">
        <f ca="1">ABS(-AG167+1/(1/AG167+AN167/100/AP167))*BV167*AW167</f>
        <v>0</v>
      </c>
      <c r="BY167" s="96">
        <f ca="1">ABS(-AW167*AP167/((AP167/AG167+AN167/100)^2))*(BO167*AN167/100)</f>
        <v>4.5918367346938778E-2</v>
      </c>
      <c r="BZ167" s="202">
        <f ca="1">ABS(AW167*AN167/100/(1/AG167*AP167+AN167/100)^2)*(BR167*AP167)</f>
        <v>4.1326530612244901E-2</v>
      </c>
      <c r="CA167" s="103">
        <f t="shared" ca="1" si="117"/>
        <v>7.6973209963347888E-2</v>
      </c>
      <c r="CB167" s="37">
        <f t="shared" ca="1" si="132"/>
        <v>0.10714285714285712</v>
      </c>
      <c r="CC167" s="37">
        <f t="shared" ca="1" si="133"/>
        <v>0</v>
      </c>
      <c r="CD167" s="37">
        <f t="shared" ca="1" si="134"/>
        <v>0.10714285714285715</v>
      </c>
      <c r="CE167" s="37">
        <f t="shared" ca="1" si="135"/>
        <v>9.6428571428571447E-2</v>
      </c>
      <c r="CF167" s="13">
        <f t="shared" ca="1" si="136"/>
        <v>0.17960415658114512</v>
      </c>
      <c r="CG167" s="101">
        <f ca="1">AG167</f>
        <v>1.2</v>
      </c>
      <c r="CH167" s="101">
        <f>AW167</f>
        <v>1</v>
      </c>
      <c r="CI167" s="203">
        <f>IF(CH167&gt;0,AN167,0)</f>
        <v>12</v>
      </c>
      <c r="CJ167" s="102">
        <f>IF(AND(CH167&gt;0,CI167&gt;0),AP167,0)</f>
        <v>7.9999999999999988E-2</v>
      </c>
      <c r="CK167" s="102">
        <f ca="1">BB167</f>
        <v>0.42857142857142855</v>
      </c>
      <c r="CL167" s="37">
        <f t="shared" ca="1" si="99"/>
        <v>0.3</v>
      </c>
      <c r="CM167" s="37">
        <f t="shared" ca="1" si="100"/>
        <v>0</v>
      </c>
      <c r="CN167" s="37">
        <f t="shared" ca="1" si="101"/>
        <v>0.16666666666666666</v>
      </c>
      <c r="CO167" s="37">
        <f t="shared" ca="1" si="102"/>
        <v>0.15</v>
      </c>
      <c r="CP167" s="37">
        <f t="shared" ca="1" si="103"/>
        <v>0.17960415658114512</v>
      </c>
      <c r="CQ167" s="95">
        <f t="shared" ca="1" si="104"/>
        <v>0.36</v>
      </c>
      <c r="CR167" s="95">
        <f t="shared" ca="1" si="105"/>
        <v>0</v>
      </c>
      <c r="CS167" s="95">
        <f t="shared" ca="1" si="106"/>
        <v>2</v>
      </c>
      <c r="CT167" s="103">
        <f t="shared" ca="1" si="107"/>
        <v>1.1999999999999999E-2</v>
      </c>
      <c r="CU167" s="95">
        <f t="shared" ca="1" si="108"/>
        <v>7.6973209963347902E-2</v>
      </c>
      <c r="CV167" s="37">
        <f ca="1">$CB167^2/$CF167^2</f>
        <v>0.35587188612099624</v>
      </c>
      <c r="CW167" s="37">
        <f ca="1">$CD167^2/$CF167^2</f>
        <v>0.35587188612099646</v>
      </c>
      <c r="CX167" s="37">
        <f ca="1">$CE167^2/$CF167^2</f>
        <v>0.28825622775800719</v>
      </c>
      <c r="CY167" s="37">
        <f ca="1">$CC167^2/$CF167^2</f>
        <v>0</v>
      </c>
      <c r="DA167" s="98" t="s">
        <v>214</v>
      </c>
      <c r="DB167" s="36">
        <f ca="1">OFFSET($A$1,ROW(DB167)-1,MATCH(DA167,$1:$1,0)-1)</f>
        <v>12</v>
      </c>
      <c r="DC167" s="9">
        <f ca="1">BB167</f>
        <v>0.42857142857142855</v>
      </c>
      <c r="DD167" s="9">
        <f ca="1">$DC167+$CA167</f>
        <v>0.50554463853477638</v>
      </c>
      <c r="DE167" s="9">
        <f ca="1">$DC167-$CA167</f>
        <v>0.35159821860808066</v>
      </c>
      <c r="DF167" s="10">
        <f t="shared" ca="1" si="87"/>
        <v>0.17960415658114501</v>
      </c>
    </row>
    <row r="168" spans="1:110" s="8" customFormat="1" ht="32.4" customHeight="1">
      <c r="A168" s="206" t="s">
        <v>604</v>
      </c>
      <c r="B168" s="208" t="s">
        <v>2344</v>
      </c>
      <c r="C168" s="206" t="str">
        <f t="shared" si="118"/>
        <v>Parameter-Variation: f_Insulation = NA</v>
      </c>
      <c r="D168" s="206"/>
      <c r="E168" s="206" t="s">
        <v>201</v>
      </c>
      <c r="F168" s="206" t="str">
        <f>IFERROR(TEXT(T168,"0%"),"NA")</f>
        <v>NA</v>
      </c>
      <c r="G168" s="206" t="s">
        <v>2170</v>
      </c>
      <c r="H168" s="206" t="s">
        <v>2171</v>
      </c>
      <c r="I168" s="156" t="s">
        <v>80</v>
      </c>
      <c r="J168" s="156" t="s">
        <v>134</v>
      </c>
      <c r="K168" s="156" t="s">
        <v>155</v>
      </c>
      <c r="L168" s="156" t="s">
        <v>66</v>
      </c>
      <c r="M168" s="156" t="s">
        <v>188</v>
      </c>
      <c r="N168" s="7">
        <v>1960</v>
      </c>
      <c r="O168" s="156">
        <v>1</v>
      </c>
      <c r="P168" s="156">
        <v>0</v>
      </c>
      <c r="Q168" s="156" t="s">
        <v>435</v>
      </c>
      <c r="R168" s="156" t="s">
        <v>58</v>
      </c>
      <c r="S168" s="19">
        <v>12</v>
      </c>
      <c r="T168" s="19" t="e">
        <v>#N/A</v>
      </c>
      <c r="U168" s="19">
        <v>2016</v>
      </c>
      <c r="V168" s="19" t="e">
        <v>#N/A</v>
      </c>
      <c r="W168" s="28" t="s">
        <v>59</v>
      </c>
      <c r="X168" s="19" t="e">
        <v>#N/A</v>
      </c>
      <c r="Y168" s="105">
        <f ca="1">IFERROR(OFFSET(Tab.Const.ConstrBorder!$A$1,MATCH(Q168,Tab.Const.ConstrBorder!$A:$A,0)-1,MATCH(Y$87,Tab.Const.ConstrBorder!$1:$1,0)-1),0)</f>
        <v>0</v>
      </c>
      <c r="Z168" s="18">
        <f t="shared" si="110"/>
        <v>1960</v>
      </c>
      <c r="AA168" s="17">
        <f>MATCH(Z168,Tab.Year.Period!$11:$11,1)-3</f>
        <v>5</v>
      </c>
      <c r="AB168" s="17">
        <f>MATCH(AB$88&amp;"."&amp;TEXT(AA168,"00"),Tab.U.Default!$A:$A,0)</f>
        <v>28</v>
      </c>
      <c r="AC168" s="105">
        <f ca="1">OFFSET(Tab.U.Default!$A$1,$AB168-1,MATCH("U_Class_"&amp;IF($J168="TopCeiling","UpperCeiling",$J168)&amp;"_"&amp;AC$87,Tab.U.Default!$1:$1,0)-1)</f>
        <v>1.2</v>
      </c>
      <c r="AD168" s="105">
        <f ca="1">OFFSET(Tab.U.Default!$A$1,$AB168-1,MATCH("U_Class_"&amp;IF($J168="TopCeiling","UpperCeiling",$J168)&amp;"_"&amp;AD$87,Tab.U.Default!$1:$1,0)-1)</f>
        <v>1.2</v>
      </c>
      <c r="AE168" s="105">
        <f ca="1">OFFSET(Tab.U.Default!$A$1,$AB168-1,MATCH("U_Class_"&amp;IF($J168="TopCeiling","UpperCeiling",$J168)&amp;"_"&amp;AE$87,Tab.U.Default!$1:$1,0)-1)</f>
        <v>0.8</v>
      </c>
      <c r="AF168" s="26">
        <f t="shared" ca="1" si="96"/>
        <v>1.2</v>
      </c>
      <c r="AG168" s="26">
        <f t="shared" ca="1" si="97"/>
        <v>1.2</v>
      </c>
      <c r="AH168" s="18" t="str">
        <f t="shared" si="124"/>
        <v>Refurbish</v>
      </c>
      <c r="AI168" s="18" t="str">
        <f t="shared" si="111"/>
        <v>Add</v>
      </c>
      <c r="AJ168" s="18">
        <f t="shared" si="98"/>
        <v>2016</v>
      </c>
      <c r="AK168" s="17">
        <f>MATCH(AJ168,Tab.Year.Period!$11:$11,1)-3</f>
        <v>12</v>
      </c>
      <c r="AL168" s="17">
        <f>MATCH(AL$88&amp;"."&amp;TEXT(AK168,"00"),Tab.Insulation.Default!$A:$A,0)</f>
        <v>23</v>
      </c>
      <c r="AM168" s="20" t="e">
        <f ca="1">IF(ISNA(IF(S168="",#N/A,S168)),OFFSET(Tab.Insulation.Default!$A$1,$AL168-1,MATCH(AM$87&amp;"_"&amp;$K168,Tab.Insulation.Default!$1:$1,0)-1),#N/A)</f>
        <v>#N/A</v>
      </c>
      <c r="AN168" s="27">
        <f t="shared" si="112"/>
        <v>12</v>
      </c>
      <c r="AO168" s="22">
        <f ca="1">IF(ISNA(IF(V168="",#N/A,V168)),OFFSET(Tab.Insulation.Default!$A$1,$AL168-1,MATCH(AO$87&amp;"_"&amp;$K168,Tab.Insulation.Default!$1:$1,0)-1),#N/A)</f>
        <v>3.5000000000000003E-2</v>
      </c>
      <c r="AP168" s="23">
        <f t="shared" ca="1" si="113"/>
        <v>3.5000000000000003E-2</v>
      </c>
      <c r="AQ168" s="29" t="str">
        <f t="shared" si="125"/>
        <v>Gen.Refurbished.12</v>
      </c>
      <c r="AR168" s="17">
        <f>MATCH(AR$88&amp;"."&amp;AQ168,Tab.Measure.f.Default!$A:$A,0)</f>
        <v>23</v>
      </c>
      <c r="AS168" s="21">
        <f ca="1">OFFSET(Tab.Measure.f.Default!$A$1,AR168-1,MATCH(AS$87&amp;"_"&amp;$J168,Tab.Measure.f.Default!$1:$1,0)-1)</f>
        <v>0.75</v>
      </c>
      <c r="AT168" s="29" t="str">
        <f t="shared" si="126"/>
        <v>MUH.NA.05</v>
      </c>
      <c r="AU168" s="17">
        <f>MATCH(AU$88&amp;"."&amp;AT168,Tab.Measure.f.Default!$A:$A,0)</f>
        <v>40</v>
      </c>
      <c r="AV168" s="21">
        <f ca="1">OFFSET(Tab.Measure.f.Default!$A$1,AU168-1,MATCH(AV$87&amp;"_"&amp;$J168,Tab.Measure.f.Default!$1:$1,0)-1)</f>
        <v>0.37</v>
      </c>
      <c r="AW168" s="30">
        <f t="shared" ca="1" si="114"/>
        <v>0.75</v>
      </c>
      <c r="AX168" s="9">
        <f t="shared" ca="1" si="127"/>
        <v>0.83333333333333337</v>
      </c>
      <c r="AY168" s="9">
        <f t="shared" ca="1" si="128"/>
        <v>3.4285714285714279</v>
      </c>
      <c r="AZ168" s="9">
        <f t="shared" ca="1" si="120"/>
        <v>4.261904761904761</v>
      </c>
      <c r="BA168" s="9">
        <f t="shared" ca="1" si="121"/>
        <v>0.23463687150837995</v>
      </c>
      <c r="BB168" s="9">
        <f t="shared" ca="1" si="129"/>
        <v>0.47597765363128497</v>
      </c>
      <c r="BC168" s="32" t="str">
        <f t="shared" si="130"/>
        <v>D</v>
      </c>
      <c r="BD168" s="20" t="str">
        <f ca="1">OFFSET(Tab.Uncertainty.Levels!$A$1,MATCH(BD$88,Tab.Uncertainty.Levels!$A:$A,0)-1,MATCH(BD$87&amp;"_"&amp;BC168,Tab.Uncertainty.Levels!$1:$1,0)-1)</f>
        <v>Use of default values; building constructed until 1983</v>
      </c>
      <c r="BE168" s="24">
        <f ca="1">OFFSET(Tab.Uncertainty.Levels!$A$1,MATCH(BE$88,Tab.Uncertainty.Levels!$A:$A,0)-1,MATCH(BE$87&amp;"_"&amp;BC168,Tab.Uncertainty.Levels!$1:$1,0)-1)</f>
        <v>0.3</v>
      </c>
      <c r="BF168" s="32" t="str">
        <f t="shared" si="131"/>
        <v>-</v>
      </c>
      <c r="BG168" s="20" t="e">
        <f ca="1">OFFSET(Tab.Uncertainty.Levels!$A$1,MATCH(BG$88,Tab.Uncertainty.Levels!$A:$A,0)-1,MATCH(BG$87&amp;"_"&amp;BF168,Tab.Uncertainty.Levels!$1:$1,0)-1)</f>
        <v>#N/A</v>
      </c>
      <c r="BH168" s="24" t="e">
        <f ca="1">OFFSET(Tab.Uncertainty.Levels!$A$1,MATCH(BH$88,Tab.Uncertainty.Levels!$A:$A,0)-1,MATCH(BH$87&amp;"_"&amp;BF168,Tab.Uncertainty.Levels!$1:$1,0)-1)</f>
        <v>#N/A</v>
      </c>
      <c r="BI168" s="32" t="str">
        <f t="shared" si="137"/>
        <v>D</v>
      </c>
      <c r="BJ168" s="13">
        <f ca="1">IF(BF168="-",BE168,BH168)</f>
        <v>0.3</v>
      </c>
      <c r="BK168" s="32" t="str">
        <f>IF(OR($L168="NoDataSource",IFERROR(IF($S168="",#N/A,$S168),0)=0),IF(IFERROR(IF(U168="",#N/A,U168),0)=0,"E","D"),IF($L168="DesignDataPlusQA","A",IF($L168="DesignData","B","C")))</f>
        <v>C</v>
      </c>
      <c r="BL168" s="20" t="str">
        <f ca="1">OFFSET(Tab.Uncertainty.Levels!$A$1,MATCH(BL$88,Tab.Uncertainty.Levels!$A:$A,0)-1,MATCH(BL$87&amp;"_"&amp;BK168,Tab.Uncertainty.Levels!$1:$1,0)-1)</f>
        <v>Insulation thickness determined by inspection onsite / record or statement of owner</v>
      </c>
      <c r="BM168" s="24">
        <f ca="1">OFFSET(Tab.Uncertainty.Levels!$A$1,MATCH(BM$88,Tab.Uncertainty.Levels!$A:$A,0)-1,MATCH(BM$87&amp;"_"&amp;BK168,Tab.Uncertainty.Levels!$1:$1,0)-1)</f>
        <v>0.25</v>
      </c>
      <c r="BN168" s="34">
        <f ca="1">OFFSET(Tab.Uncertainty.Levels!$A$1,MATCH(BN$88,Tab.Uncertainty.Levels!$A:$A,0)-1,MATCH(BN$87&amp;"_"&amp;BK168,Tab.Uncertainty.Levels!$1:$1,0)-1)</f>
        <v>2</v>
      </c>
      <c r="BO168" s="13">
        <f ca="1">IFERROR(MIN(BM168,BN168/AN168),0)</f>
        <v>0.16666666666666666</v>
      </c>
      <c r="BP168" s="32" t="str">
        <f>IF(OR($L168="NoDataSource",IFERROR(IF($V168="",#N/A,$V168),0)=0),IF(IFERROR(IF(U168="",#N/A,U168),0)=0,"E","D"),IF($L168="DesignDataPlusQA","A",IF($L168="DesignData","B","C")))</f>
        <v>D</v>
      </c>
      <c r="BQ168" s="20" t="str">
        <f ca="1">OFFSET(Tab.Uncertainty.Levels!$A$1,MATCH(BQ$88,Tab.Uncertainty.Levels!$A:$A,0)-1,MATCH(BQ$87&amp;"_"&amp;BP168,Tab.Uncertainty.Levels!$1:$1,0)-1)</f>
        <v>Insulation available; no information about material</v>
      </c>
      <c r="BR168" s="97">
        <f ca="1">OFFSET(Tab.Uncertainty.Levels!$A$1,MATCH(BR$88,Tab.Uncertainty.Levels!$A:$A,0)-1,MATCH(BR$87&amp;"_"&amp;BP168,Tab.Uncertainty.Levels!$1:$1,0)-1)</f>
        <v>0.2</v>
      </c>
      <c r="BS168" s="32" t="str">
        <f>IF(L168="NoDataSource","D",IF(IFERROR(IF($T168="",#N/A,$T168),0)=0,IF(OR(IFERROR(IF($S168="",#N/A,$S168),0)&gt;0,$R168="Refurbish"),"D","E"),IF($L168="DesignDataPlusQA","A",IF($L168="DesignData","B","C"))))</f>
        <v>D</v>
      </c>
      <c r="BT168" s="20" t="str">
        <f ca="1">OFFSET(Tab.Uncertainty.Levels!$A$1,MATCH(BT$88,Tab.Uncertainty.Levels!$A:$A,0)-1,MATCH(BT$87&amp;"_"&amp;BS168,Tab.Uncertainty.Levels!$1:$1,0)-1)</f>
        <v>Insulation has been applied, but no information about insulation fraction (default fraction value is the average insulation fraction for all insulated buildings)</v>
      </c>
      <c r="BU168" s="33">
        <f ca="1">OFFSET(Tab.Uncertainty.Levels!$A$1,MATCH(BU$88,Tab.Uncertainty.Levels!$A:$A,0)-1,MATCH(BU$87&amp;"_"&amp;BS168,Tab.Uncertainty.Levels!$1:$1,0)-1)</f>
        <v>0.3</v>
      </c>
      <c r="BV168" s="13">
        <f ca="1">IFERROR(MIN(BU168/AW168,1,(1-AW168)/AW168),0)</f>
        <v>0.33333333333333331</v>
      </c>
      <c r="BW168" s="96">
        <f ca="1">ABS(1+(AW168*(1/(1+AN168/100/AP168*AG168)^2-1)))*BJ168*$AG168</f>
        <v>0.10032271152585751</v>
      </c>
      <c r="BX168" s="96">
        <f ca="1">ABS(-AG168+1/(1/AG168+AN168/100/AP168))*BV168*AW168</f>
        <v>0.241340782122905</v>
      </c>
      <c r="BY168" s="96">
        <f ca="1">ABS(-AW168*AP168/((AP168/AG168+AN168/100)^2))*(BO168*AN168/100)</f>
        <v>2.3594769201959992E-2</v>
      </c>
      <c r="BZ168" s="202">
        <f ca="1">ABS(AW168*AN168/100/(1/AG168*AP168+AN168/100)^2)*(BR168*AP168)</f>
        <v>2.8313723042351989E-2</v>
      </c>
      <c r="CA168" s="103">
        <f t="shared" ca="1" si="117"/>
        <v>0.26394772135748529</v>
      </c>
      <c r="CB168" s="37">
        <f t="shared" ca="1" si="132"/>
        <v>0.21077189393343299</v>
      </c>
      <c r="CC168" s="37">
        <f t="shared" ca="1" si="133"/>
        <v>0.50704225352112664</v>
      </c>
      <c r="CD168" s="37">
        <f t="shared" ca="1" si="134"/>
        <v>4.9571170036981665E-2</v>
      </c>
      <c r="CE168" s="37">
        <f t="shared" ca="1" si="135"/>
        <v>5.9485404044378E-2</v>
      </c>
      <c r="CF168" s="13">
        <f t="shared" ca="1" si="136"/>
        <v>0.55453805308673543</v>
      </c>
      <c r="CG168" s="101">
        <f ca="1">AG168</f>
        <v>1.2</v>
      </c>
      <c r="CH168" s="101">
        <f ca="1">AW168</f>
        <v>0.75</v>
      </c>
      <c r="CI168" s="203">
        <f ca="1">IF(CH168&gt;0,AN168,0)</f>
        <v>12</v>
      </c>
      <c r="CJ168" s="102">
        <f ca="1">IF(AND(CH168&gt;0,CI168&gt;0),AP168,0)</f>
        <v>3.5000000000000003E-2</v>
      </c>
      <c r="CK168" s="102">
        <f ca="1">BB168</f>
        <v>0.47597765363128497</v>
      </c>
      <c r="CL168" s="37">
        <f t="shared" ca="1" si="99"/>
        <v>0.3</v>
      </c>
      <c r="CM168" s="37">
        <f t="shared" ca="1" si="100"/>
        <v>0.33333333333333331</v>
      </c>
      <c r="CN168" s="37">
        <f t="shared" ca="1" si="101"/>
        <v>0.16666666666666666</v>
      </c>
      <c r="CO168" s="37">
        <f t="shared" ca="1" si="102"/>
        <v>0.2</v>
      </c>
      <c r="CP168" s="37">
        <f t="shared" ca="1" si="103"/>
        <v>0.55453805308673543</v>
      </c>
      <c r="CQ168" s="95">
        <f t="shared" ca="1" si="104"/>
        <v>0.36</v>
      </c>
      <c r="CR168" s="95">
        <f t="shared" ca="1" si="105"/>
        <v>0.25</v>
      </c>
      <c r="CS168" s="95">
        <f t="shared" ca="1" si="106"/>
        <v>2</v>
      </c>
      <c r="CT168" s="103">
        <f t="shared" ca="1" si="107"/>
        <v>7.000000000000001E-3</v>
      </c>
      <c r="CU168" s="95">
        <f t="shared" ca="1" si="108"/>
        <v>0.26394772135748529</v>
      </c>
      <c r="CV168" s="37">
        <f ca="1">$CB168^2/$CF168^2</f>
        <v>0.14446501576424053</v>
      </c>
      <c r="CW168" s="37">
        <f ca="1">$CD168^2/$CF168^2</f>
        <v>7.9908988409628911E-3</v>
      </c>
      <c r="CX168" s="37">
        <f ca="1">$CE168^2/$CF168^2</f>
        <v>1.1506894330986563E-2</v>
      </c>
      <c r="CY168" s="37">
        <f ca="1">$CC168^2/$CF168^2</f>
        <v>0.83603719106381014</v>
      </c>
      <c r="DA168" s="98" t="s">
        <v>214</v>
      </c>
      <c r="DB168" s="36">
        <f ca="1">OFFSET($A$1,ROW(DB168)-1,MATCH(DA168,$1:$1,0)-1)</f>
        <v>12</v>
      </c>
      <c r="DC168" s="9">
        <f ca="1">BB168</f>
        <v>0.47597765363128497</v>
      </c>
      <c r="DD168" s="9">
        <f ca="1">$DC168+$CA168</f>
        <v>0.7399253749887702</v>
      </c>
      <c r="DE168" s="9">
        <f ca="1">$DC168-$CA168</f>
        <v>0.21202993227379968</v>
      </c>
      <c r="DF168" s="10">
        <f t="shared" ca="1" si="87"/>
        <v>0.55453805308673532</v>
      </c>
    </row>
    <row r="169" spans="1:110" s="8" customFormat="1" ht="32.4" customHeight="1">
      <c r="A169" s="206" t="s">
        <v>605</v>
      </c>
      <c r="B169" s="208" t="s">
        <v>2344</v>
      </c>
      <c r="C169" s="206" t="str">
        <f t="shared" si="88"/>
        <v>Parameter-Variation: f_Insulation = 0%</v>
      </c>
      <c r="D169" s="206"/>
      <c r="E169" s="206" t="s">
        <v>201</v>
      </c>
      <c r="F169" s="206" t="str">
        <f>IFERROR(TEXT(T169,"0%"),"NA")</f>
        <v>0%</v>
      </c>
      <c r="G169" s="206" t="s">
        <v>2170</v>
      </c>
      <c r="H169" s="206" t="s">
        <v>2171</v>
      </c>
      <c r="I169" s="156" t="s">
        <v>80</v>
      </c>
      <c r="J169" s="156" t="s">
        <v>134</v>
      </c>
      <c r="K169" s="156" t="s">
        <v>155</v>
      </c>
      <c r="L169" s="156" t="s">
        <v>66</v>
      </c>
      <c r="M169" s="156" t="s">
        <v>188</v>
      </c>
      <c r="N169" s="7">
        <v>1960</v>
      </c>
      <c r="O169" s="156">
        <v>1</v>
      </c>
      <c r="P169" s="156">
        <v>0</v>
      </c>
      <c r="Q169" s="156" t="s">
        <v>435</v>
      </c>
      <c r="R169" s="156" t="s">
        <v>58</v>
      </c>
      <c r="S169" s="19">
        <v>12</v>
      </c>
      <c r="T169" s="19">
        <v>1E-4</v>
      </c>
      <c r="U169" s="19">
        <v>2016</v>
      </c>
      <c r="V169" s="19" t="e">
        <v>#N/A</v>
      </c>
      <c r="W169" s="28" t="s">
        <v>59</v>
      </c>
      <c r="X169" s="19" t="e">
        <v>#N/A</v>
      </c>
      <c r="Y169" s="105">
        <f ca="1">IFERROR(OFFSET(Tab.Const.ConstrBorder!$A$1,MATCH(Q169,Tab.Const.ConstrBorder!$A:$A,0)-1,MATCH(Y$87,Tab.Const.ConstrBorder!$1:$1,0)-1),0)</f>
        <v>0</v>
      </c>
      <c r="Z169" s="18">
        <f t="shared" si="110"/>
        <v>1960</v>
      </c>
      <c r="AA169" s="17">
        <f>MATCH(Z169,Tab.Year.Period!$11:$11,1)-3</f>
        <v>5</v>
      </c>
      <c r="AB169" s="17">
        <f>MATCH(AB$88&amp;"."&amp;TEXT(AA169,"00"),Tab.U.Default!$A:$A,0)</f>
        <v>28</v>
      </c>
      <c r="AC169" s="105">
        <f ca="1">OFFSET(Tab.U.Default!$A$1,$AB169-1,MATCH("U_Class_"&amp;IF($J169="TopCeiling","UpperCeiling",$J169)&amp;"_"&amp;AC$87,Tab.U.Default!$1:$1,0)-1)</f>
        <v>1.2</v>
      </c>
      <c r="AD169" s="105">
        <f ca="1">OFFSET(Tab.U.Default!$A$1,$AB169-1,MATCH("U_Class_"&amp;IF($J169="TopCeiling","UpperCeiling",$J169)&amp;"_"&amp;AD$87,Tab.U.Default!$1:$1,0)-1)</f>
        <v>1.2</v>
      </c>
      <c r="AE169" s="105">
        <f ca="1">OFFSET(Tab.U.Default!$A$1,$AB169-1,MATCH("U_Class_"&amp;IF($J169="TopCeiling","UpperCeiling",$J169)&amp;"_"&amp;AE$87,Tab.U.Default!$1:$1,0)-1)</f>
        <v>0.8</v>
      </c>
      <c r="AF169" s="26">
        <f t="shared" ca="1" si="96"/>
        <v>1.2</v>
      </c>
      <c r="AG169" s="26">
        <f t="shared" ca="1" si="97"/>
        <v>1.2</v>
      </c>
      <c r="AH169" s="18" t="str">
        <f t="shared" si="124"/>
        <v>Refurbish</v>
      </c>
      <c r="AI169" s="18" t="str">
        <f t="shared" si="111"/>
        <v>Add</v>
      </c>
      <c r="AJ169" s="18">
        <f t="shared" si="98"/>
        <v>2016</v>
      </c>
      <c r="AK169" s="17">
        <f>MATCH(AJ169,Tab.Year.Period!$11:$11,1)-3</f>
        <v>12</v>
      </c>
      <c r="AL169" s="17">
        <f>MATCH(AL$88&amp;"."&amp;TEXT(AK169,"00"),Tab.Insulation.Default!$A:$A,0)</f>
        <v>23</v>
      </c>
      <c r="AM169" s="20" t="e">
        <f ca="1">IF(ISNA(IF(S169="",#N/A,S169)),OFFSET(Tab.Insulation.Default!$A$1,$AL169-1,MATCH(AM$87&amp;"_"&amp;$K169,Tab.Insulation.Default!$1:$1,0)-1),#N/A)</f>
        <v>#N/A</v>
      </c>
      <c r="AN169" s="27">
        <f t="shared" si="112"/>
        <v>12</v>
      </c>
      <c r="AO169" s="22">
        <f ca="1">IF(ISNA(IF(V169="",#N/A,V169)),OFFSET(Tab.Insulation.Default!$A$1,$AL169-1,MATCH(AO$87&amp;"_"&amp;$K169,Tab.Insulation.Default!$1:$1,0)-1),#N/A)</f>
        <v>3.5000000000000003E-2</v>
      </c>
      <c r="AP169" s="23">
        <f t="shared" ca="1" si="113"/>
        <v>3.5000000000000003E-2</v>
      </c>
      <c r="AQ169" s="29" t="str">
        <f t="shared" si="125"/>
        <v>Gen.Refurbished.12</v>
      </c>
      <c r="AR169" s="17">
        <f>MATCH(AR$88&amp;"."&amp;AQ169,Tab.Measure.f.Default!$A:$A,0)</f>
        <v>23</v>
      </c>
      <c r="AS169" s="21">
        <f ca="1">OFFSET(Tab.Measure.f.Default!$A$1,AR169-1,MATCH(AS$87&amp;"_"&amp;$J169,Tab.Measure.f.Default!$1:$1,0)-1)</f>
        <v>0.75</v>
      </c>
      <c r="AT169" s="29" t="str">
        <f t="shared" si="126"/>
        <v>MUH.NA.05</v>
      </c>
      <c r="AU169" s="17">
        <f>MATCH(AU$88&amp;"."&amp;AT169,Tab.Measure.f.Default!$A:$A,0)</f>
        <v>40</v>
      </c>
      <c r="AV169" s="21">
        <f ca="1">OFFSET(Tab.Measure.f.Default!$A$1,AU169-1,MATCH(AV$87&amp;"_"&amp;$J169,Tab.Measure.f.Default!$1:$1,0)-1)</f>
        <v>0.37</v>
      </c>
      <c r="AW169" s="30">
        <f t="shared" si="114"/>
        <v>1E-4</v>
      </c>
      <c r="AX169" s="9">
        <f t="shared" ca="1" si="127"/>
        <v>0.83333333333333337</v>
      </c>
      <c r="AY169" s="9">
        <f t="shared" ca="1" si="128"/>
        <v>3.4285714285714279</v>
      </c>
      <c r="AZ169" s="9">
        <f t="shared" ca="1" si="89"/>
        <v>4.261904761904761</v>
      </c>
      <c r="BA169" s="9">
        <f t="shared" ca="1" si="90"/>
        <v>0.23463687150837995</v>
      </c>
      <c r="BB169" s="9">
        <f t="shared" ca="1" si="129"/>
        <v>1.1999034636871508</v>
      </c>
      <c r="BC169" s="32" t="str">
        <f t="shared" si="130"/>
        <v>D</v>
      </c>
      <c r="BD169" s="20" t="str">
        <f ca="1">OFFSET(Tab.Uncertainty.Levels!$A$1,MATCH(BD$88,Tab.Uncertainty.Levels!$A:$A,0)-1,MATCH(BD$87&amp;"_"&amp;BC169,Tab.Uncertainty.Levels!$1:$1,0)-1)</f>
        <v>Use of default values; building constructed until 1983</v>
      </c>
      <c r="BE169" s="24">
        <f ca="1">OFFSET(Tab.Uncertainty.Levels!$A$1,MATCH(BE$88,Tab.Uncertainty.Levels!$A:$A,0)-1,MATCH(BE$87&amp;"_"&amp;BC169,Tab.Uncertainty.Levels!$1:$1,0)-1)</f>
        <v>0.3</v>
      </c>
      <c r="BF169" s="32" t="str">
        <f t="shared" si="131"/>
        <v>-</v>
      </c>
      <c r="BG169" s="20" t="e">
        <f ca="1">OFFSET(Tab.Uncertainty.Levels!$A$1,MATCH(BG$88,Tab.Uncertainty.Levels!$A:$A,0)-1,MATCH(BG$87&amp;"_"&amp;BF169,Tab.Uncertainty.Levels!$1:$1,0)-1)</f>
        <v>#N/A</v>
      </c>
      <c r="BH169" s="24" t="e">
        <f ca="1">OFFSET(Tab.Uncertainty.Levels!$A$1,MATCH(BH$88,Tab.Uncertainty.Levels!$A:$A,0)-1,MATCH(BH$87&amp;"_"&amp;BF169,Tab.Uncertainty.Levels!$1:$1,0)-1)</f>
        <v>#N/A</v>
      </c>
      <c r="BI169" s="32" t="str">
        <f t="shared" si="137"/>
        <v>D</v>
      </c>
      <c r="BJ169" s="13">
        <f ca="1">IF(BF169="-",BE169,BH169)</f>
        <v>0.3</v>
      </c>
      <c r="BK169" s="32" t="str">
        <f>IF(OR($L169="NoDataSource",IFERROR(IF($S169="",#N/A,$S169),0)=0),IF(IFERROR(IF(U169="",#N/A,U169),0)=0,"E","D"),IF($L169="DesignDataPlusQA","A",IF($L169="DesignData","B","C")))</f>
        <v>C</v>
      </c>
      <c r="BL169" s="20" t="str">
        <f ca="1">OFFSET(Tab.Uncertainty.Levels!$A$1,MATCH(BL$88,Tab.Uncertainty.Levels!$A:$A,0)-1,MATCH(BL$87&amp;"_"&amp;BK169,Tab.Uncertainty.Levels!$1:$1,0)-1)</f>
        <v>Insulation thickness determined by inspection onsite / record or statement of owner</v>
      </c>
      <c r="BM169" s="24">
        <f ca="1">OFFSET(Tab.Uncertainty.Levels!$A$1,MATCH(BM$88,Tab.Uncertainty.Levels!$A:$A,0)-1,MATCH(BM$87&amp;"_"&amp;BK169,Tab.Uncertainty.Levels!$1:$1,0)-1)</f>
        <v>0.25</v>
      </c>
      <c r="BN169" s="34">
        <f ca="1">OFFSET(Tab.Uncertainty.Levels!$A$1,MATCH(BN$88,Tab.Uncertainty.Levels!$A:$A,0)-1,MATCH(BN$87&amp;"_"&amp;BK169,Tab.Uncertainty.Levels!$1:$1,0)-1)</f>
        <v>2</v>
      </c>
      <c r="BO169" s="13">
        <f ca="1">IFERROR(MIN(BM169,BN169/AN169),0)</f>
        <v>0.16666666666666666</v>
      </c>
      <c r="BP169" s="32" t="str">
        <f>IF(OR($L169="NoDataSource",IFERROR(IF($V169="",#N/A,$V169),0)=0),IF(IFERROR(IF(U169="",#N/A,U169),0)=0,"E","D"),IF($L169="DesignDataPlusQA","A",IF($L169="DesignData","B","C")))</f>
        <v>D</v>
      </c>
      <c r="BQ169" s="20" t="str">
        <f ca="1">OFFSET(Tab.Uncertainty.Levels!$A$1,MATCH(BQ$88,Tab.Uncertainty.Levels!$A:$A,0)-1,MATCH(BQ$87&amp;"_"&amp;BP169,Tab.Uncertainty.Levels!$1:$1,0)-1)</f>
        <v>Insulation available; no information about material</v>
      </c>
      <c r="BR169" s="97">
        <f ca="1">OFFSET(Tab.Uncertainty.Levels!$A$1,MATCH(BR$88,Tab.Uncertainty.Levels!$A:$A,0)-1,MATCH(BR$87&amp;"_"&amp;BP169,Tab.Uncertainty.Levels!$1:$1,0)-1)</f>
        <v>0.2</v>
      </c>
      <c r="BS169" s="32" t="str">
        <f>IF(L169="NoDataSource","D",IF(IFERROR(IF($T169="",#N/A,$T169),0)=0,IF(OR(IFERROR(IF($S169="",#N/A,$S169),0)&gt;0,$R169="Refurbish"),"D","E"),IF($L169="DesignDataPlusQA","A",IF($L169="DesignData","B","C"))))</f>
        <v>C</v>
      </c>
      <c r="BT169" s="20" t="str">
        <f ca="1">OFFSET(Tab.Uncertainty.Levels!$A$1,MATCH(BT$88,Tab.Uncertainty.Levels!$A:$A,0)-1,MATCH(BT$87&amp;"_"&amp;BS169,Tab.Uncertainty.Levels!$1:$1,0)-1)</f>
        <v>Insulation fraction determined by inspection onsite / record or statement of owner</v>
      </c>
      <c r="BU169" s="33">
        <f ca="1">OFFSET(Tab.Uncertainty.Levels!$A$1,MATCH(BU$88,Tab.Uncertainty.Levels!$A:$A,0)-1,MATCH(BU$87&amp;"_"&amp;BS169,Tab.Uncertainty.Levels!$1:$1,0)-1)</f>
        <v>0.2</v>
      </c>
      <c r="BV169" s="13">
        <f ca="1">IFERROR(MIN(BU169/AW169,1,(1-AW169)/AW169),0)</f>
        <v>1</v>
      </c>
      <c r="BW169" s="96">
        <f ca="1">ABS(1+(AW169*(1/(1+AN169/100/AP169*AG169)^2-1)))*BJ169*$AG169</f>
        <v>0.35996537636153675</v>
      </c>
      <c r="BX169" s="96">
        <f ca="1">ABS(-AG169+1/(1/AG169+AN169/100/AP169))*BV169*AW169</f>
        <v>9.6536312849162007E-5</v>
      </c>
      <c r="BY169" s="96">
        <f ca="1">ABS(-AW169*AP169/((AP169/AG169+AN169/100)^2))*(BO169*AN169/100)</f>
        <v>3.1459692269279987E-6</v>
      </c>
      <c r="BZ169" s="202">
        <f ca="1">ABS(AW169*AN169/100/(1/AG169*AP169+AN169/100)^2)*(BR169*AP169)</f>
        <v>3.7751630723135993E-6</v>
      </c>
      <c r="CA169" s="103">
        <f t="shared" ca="1" si="117"/>
        <v>0.3599653893397412</v>
      </c>
      <c r="CB169" s="37">
        <f t="shared" ca="1" si="132"/>
        <v>0.29999528066650372</v>
      </c>
      <c r="CC169" s="37">
        <f t="shared" ca="1" si="133"/>
        <v>8.0453399603096554E-5</v>
      </c>
      <c r="CD169" s="37">
        <f t="shared" ca="1" si="134"/>
        <v>2.621851942372793E-6</v>
      </c>
      <c r="CE169" s="37">
        <f t="shared" ca="1" si="135"/>
        <v>3.1462223308473526E-6</v>
      </c>
      <c r="CF169" s="13">
        <f t="shared" ca="1" si="136"/>
        <v>0.29999529148254422</v>
      </c>
      <c r="CG169" s="101">
        <f ca="1">AG169</f>
        <v>1.2</v>
      </c>
      <c r="CH169" s="101">
        <f>AW169</f>
        <v>1E-4</v>
      </c>
      <c r="CI169" s="203">
        <f>IF(CH169&gt;0,AN169,0)</f>
        <v>12</v>
      </c>
      <c r="CJ169" s="102">
        <f ca="1">IF(AND(CH169&gt;0,CI169&gt;0),AP169,0)</f>
        <v>3.5000000000000003E-2</v>
      </c>
      <c r="CK169" s="102">
        <f ca="1">BB169</f>
        <v>1.1999034636871508</v>
      </c>
      <c r="CL169" s="37">
        <f t="shared" ca="1" si="99"/>
        <v>0.3</v>
      </c>
      <c r="CM169" s="37">
        <f t="shared" ca="1" si="100"/>
        <v>1</v>
      </c>
      <c r="CN169" s="37">
        <f t="shared" ca="1" si="101"/>
        <v>0.16666666666666666</v>
      </c>
      <c r="CO169" s="37">
        <f t="shared" ca="1" si="102"/>
        <v>0.2</v>
      </c>
      <c r="CP169" s="37">
        <f t="shared" ca="1" si="103"/>
        <v>0.29999529148254422</v>
      </c>
      <c r="CQ169" s="95">
        <f t="shared" ca="1" si="104"/>
        <v>0.36</v>
      </c>
      <c r="CR169" s="95">
        <f t="shared" ca="1" si="105"/>
        <v>1E-4</v>
      </c>
      <c r="CS169" s="95">
        <f t="shared" ca="1" si="106"/>
        <v>2</v>
      </c>
      <c r="CT169" s="103">
        <f t="shared" ca="1" si="107"/>
        <v>7.000000000000001E-3</v>
      </c>
      <c r="CU169" s="95">
        <f t="shared" ca="1" si="108"/>
        <v>0.35996538933974126</v>
      </c>
      <c r="CV169" s="37">
        <f ca="1">$CB169^2/$CF169^2</f>
        <v>0.99999992789193282</v>
      </c>
      <c r="CW169" s="37">
        <f ca="1">$CD169^2/$CF169^2</f>
        <v>7.6381371020464987E-11</v>
      </c>
      <c r="CX169" s="37">
        <f ca="1">$CE169^2/$CF169^2</f>
        <v>1.0998917426946965E-10</v>
      </c>
      <c r="CY169" s="37">
        <f ca="1">$CC169^2/$CF169^2</f>
        <v>7.1921696587103559E-8</v>
      </c>
      <c r="DA169" s="98" t="s">
        <v>214</v>
      </c>
      <c r="DB169" s="36">
        <f ca="1">OFFSET($A$1,ROW(DB169)-1,MATCH(DA169,$1:$1,0)-1)</f>
        <v>12</v>
      </c>
      <c r="DC169" s="9">
        <f ca="1">BB169</f>
        <v>1.1999034636871508</v>
      </c>
      <c r="DD169" s="9">
        <f ca="1">$DC169+$CA169</f>
        <v>1.559868853026892</v>
      </c>
      <c r="DE169" s="9">
        <f ca="1">$DC169-$CA169</f>
        <v>0.83993807434740964</v>
      </c>
      <c r="DF169" s="10">
        <f t="shared" ca="1" si="87"/>
        <v>0.29999529148254422</v>
      </c>
    </row>
    <row r="170" spans="1:110" s="8" customFormat="1" ht="32.4" customHeight="1">
      <c r="A170" s="206" t="s">
        <v>606</v>
      </c>
      <c r="B170" s="208" t="s">
        <v>2344</v>
      </c>
      <c r="C170" s="206" t="str">
        <f t="shared" ref="C170:C179" si="138">E170&amp;" = "&amp;F170</f>
        <v>Parameter-Variation: f_Insulation = 10%</v>
      </c>
      <c r="D170" s="206"/>
      <c r="E170" s="206" t="s">
        <v>201</v>
      </c>
      <c r="F170" s="206" t="str">
        <f t="shared" ref="F170:F179" si="139">IFERROR(TEXT(T170,"0%"),"NA")</f>
        <v>10%</v>
      </c>
      <c r="G170" s="206" t="s">
        <v>2170</v>
      </c>
      <c r="H170" s="206" t="s">
        <v>2171</v>
      </c>
      <c r="I170" s="156" t="s">
        <v>80</v>
      </c>
      <c r="J170" s="156" t="s">
        <v>134</v>
      </c>
      <c r="K170" s="156" t="s">
        <v>155</v>
      </c>
      <c r="L170" s="156" t="s">
        <v>66</v>
      </c>
      <c r="M170" s="156" t="s">
        <v>188</v>
      </c>
      <c r="N170" s="7">
        <v>1960</v>
      </c>
      <c r="O170" s="156">
        <v>1</v>
      </c>
      <c r="P170" s="156">
        <v>0</v>
      </c>
      <c r="Q170" s="156" t="s">
        <v>435</v>
      </c>
      <c r="R170" s="156" t="s">
        <v>58</v>
      </c>
      <c r="S170" s="19">
        <v>12</v>
      </c>
      <c r="T170" s="19">
        <f>T169+0.1</f>
        <v>0.10010000000000001</v>
      </c>
      <c r="U170" s="19">
        <v>2016</v>
      </c>
      <c r="V170" s="19" t="e">
        <v>#N/A</v>
      </c>
      <c r="W170" s="28" t="s">
        <v>59</v>
      </c>
      <c r="X170" s="19" t="e">
        <v>#N/A</v>
      </c>
      <c r="Y170" s="105">
        <f ca="1">IFERROR(OFFSET(Tab.Const.ConstrBorder!$A$1,MATCH(Q170,Tab.Const.ConstrBorder!$A:$A,0)-1,MATCH(Y$87,Tab.Const.ConstrBorder!$1:$1,0)-1),0)</f>
        <v>0</v>
      </c>
      <c r="Z170" s="18">
        <f t="shared" si="110"/>
        <v>1960</v>
      </c>
      <c r="AA170" s="17">
        <f>MATCH(Z170,Tab.Year.Period!$11:$11,1)-3</f>
        <v>5</v>
      </c>
      <c r="AB170" s="17">
        <f>MATCH(AB$88&amp;"."&amp;TEXT(AA170,"00"),Tab.U.Default!$A:$A,0)</f>
        <v>28</v>
      </c>
      <c r="AC170" s="105">
        <f ca="1">OFFSET(Tab.U.Default!$A$1,$AB170-1,MATCH("U_Class_"&amp;IF($J170="TopCeiling","UpperCeiling",$J170)&amp;"_"&amp;AC$87,Tab.U.Default!$1:$1,0)-1)</f>
        <v>1.2</v>
      </c>
      <c r="AD170" s="105">
        <f ca="1">OFFSET(Tab.U.Default!$A$1,$AB170-1,MATCH("U_Class_"&amp;IF($J170="TopCeiling","UpperCeiling",$J170)&amp;"_"&amp;AD$87,Tab.U.Default!$1:$1,0)-1)</f>
        <v>1.2</v>
      </c>
      <c r="AE170" s="105">
        <f ca="1">OFFSET(Tab.U.Default!$A$1,$AB170-1,MATCH("U_Class_"&amp;IF($J170="TopCeiling","UpperCeiling",$J170)&amp;"_"&amp;AE$87,Tab.U.Default!$1:$1,0)-1)</f>
        <v>0.8</v>
      </c>
      <c r="AF170" s="26">
        <f t="shared" ca="1" si="96"/>
        <v>1.2</v>
      </c>
      <c r="AG170" s="26">
        <f t="shared" ca="1" si="97"/>
        <v>1.2</v>
      </c>
      <c r="AH170" s="18" t="str">
        <f t="shared" si="124"/>
        <v>Refurbish</v>
      </c>
      <c r="AI170" s="18" t="str">
        <f t="shared" si="111"/>
        <v>Add</v>
      </c>
      <c r="AJ170" s="18">
        <f t="shared" si="98"/>
        <v>2016</v>
      </c>
      <c r="AK170" s="17">
        <f>MATCH(AJ170,Tab.Year.Period!$11:$11,1)-3</f>
        <v>12</v>
      </c>
      <c r="AL170" s="17">
        <f>MATCH(AL$88&amp;"."&amp;TEXT(AK170,"00"),Tab.Insulation.Default!$A:$A,0)</f>
        <v>23</v>
      </c>
      <c r="AM170" s="20" t="e">
        <f ca="1">IF(ISNA(IF(S170="",#N/A,S170)),OFFSET(Tab.Insulation.Default!$A$1,$AL170-1,MATCH(AM$87&amp;"_"&amp;$K170,Tab.Insulation.Default!$1:$1,0)-1),#N/A)</f>
        <v>#N/A</v>
      </c>
      <c r="AN170" s="27">
        <f t="shared" si="112"/>
        <v>12</v>
      </c>
      <c r="AO170" s="22">
        <f ca="1">IF(ISNA(IF(V170="",#N/A,V170)),OFFSET(Tab.Insulation.Default!$A$1,$AL170-1,MATCH(AO$87&amp;"_"&amp;$K170,Tab.Insulation.Default!$1:$1,0)-1),#N/A)</f>
        <v>3.5000000000000003E-2</v>
      </c>
      <c r="AP170" s="23">
        <f t="shared" ca="1" si="113"/>
        <v>3.5000000000000003E-2</v>
      </c>
      <c r="AQ170" s="29" t="str">
        <f t="shared" si="125"/>
        <v>Gen.Refurbished.12</v>
      </c>
      <c r="AR170" s="17">
        <f>MATCH(AR$88&amp;"."&amp;AQ170,Tab.Measure.f.Default!$A:$A,0)</f>
        <v>23</v>
      </c>
      <c r="AS170" s="21">
        <f ca="1">OFFSET(Tab.Measure.f.Default!$A$1,AR170-1,MATCH(AS$87&amp;"_"&amp;$J170,Tab.Measure.f.Default!$1:$1,0)-1)</f>
        <v>0.75</v>
      </c>
      <c r="AT170" s="29" t="str">
        <f t="shared" si="126"/>
        <v>MUH.NA.05</v>
      </c>
      <c r="AU170" s="17">
        <f>MATCH(AU$88&amp;"."&amp;AT170,Tab.Measure.f.Default!$A:$A,0)</f>
        <v>40</v>
      </c>
      <c r="AV170" s="21">
        <f ca="1">OFFSET(Tab.Measure.f.Default!$A$1,AU170-1,MATCH(AV$87&amp;"_"&amp;$J170,Tab.Measure.f.Default!$1:$1,0)-1)</f>
        <v>0.37</v>
      </c>
      <c r="AW170" s="30">
        <f t="shared" si="114"/>
        <v>0.10010000000000001</v>
      </c>
      <c r="AX170" s="9">
        <f t="shared" ca="1" si="127"/>
        <v>0.83333333333333337</v>
      </c>
      <c r="AY170" s="9">
        <f t="shared" ca="1" si="128"/>
        <v>3.4285714285714279</v>
      </c>
      <c r="AZ170" s="9">
        <f t="shared" ref="AZ170:AZ179" ca="1" si="140">AX170+AY170</f>
        <v>4.261904761904761</v>
      </c>
      <c r="BA170" s="9">
        <f t="shared" ref="BA170:BA179" ca="1" si="141">1/AZ170</f>
        <v>0.23463687150837995</v>
      </c>
      <c r="BB170" s="9">
        <f t="shared" ca="1" si="129"/>
        <v>1.1033671508379888</v>
      </c>
      <c r="BC170" s="32" t="str">
        <f t="shared" si="130"/>
        <v>D</v>
      </c>
      <c r="BD170" s="20" t="str">
        <f ca="1">OFFSET(Tab.Uncertainty.Levels!$A$1,MATCH(BD$88,Tab.Uncertainty.Levels!$A:$A,0)-1,MATCH(BD$87&amp;"_"&amp;BC170,Tab.Uncertainty.Levels!$1:$1,0)-1)</f>
        <v>Use of default values; building constructed until 1983</v>
      </c>
      <c r="BE170" s="24">
        <f ca="1">OFFSET(Tab.Uncertainty.Levels!$A$1,MATCH(BE$88,Tab.Uncertainty.Levels!$A:$A,0)-1,MATCH(BE$87&amp;"_"&amp;BC170,Tab.Uncertainty.Levels!$1:$1,0)-1)</f>
        <v>0.3</v>
      </c>
      <c r="BF170" s="32" t="str">
        <f t="shared" si="131"/>
        <v>-</v>
      </c>
      <c r="BG170" s="20" t="e">
        <f ca="1">OFFSET(Tab.Uncertainty.Levels!$A$1,MATCH(BG$88,Tab.Uncertainty.Levels!$A:$A,0)-1,MATCH(BG$87&amp;"_"&amp;BF170,Tab.Uncertainty.Levels!$1:$1,0)-1)</f>
        <v>#N/A</v>
      </c>
      <c r="BH170" s="24" t="e">
        <f ca="1">OFFSET(Tab.Uncertainty.Levels!$A$1,MATCH(BH$88,Tab.Uncertainty.Levels!$A:$A,0)-1,MATCH(BH$87&amp;"_"&amp;BF170,Tab.Uncertainty.Levels!$1:$1,0)-1)</f>
        <v>#N/A</v>
      </c>
      <c r="BI170" s="32" t="str">
        <f t="shared" si="137"/>
        <v>D</v>
      </c>
      <c r="BJ170" s="13">
        <f ca="1">IF(BF170="-",BE170,BH170)</f>
        <v>0.3</v>
      </c>
      <c r="BK170" s="32" t="str">
        <f>IF(OR($L170="NoDataSource",IFERROR(IF($S170="",#N/A,$S170),0)=0),IF(IFERROR(IF(U170="",#N/A,U170),0)=0,"E","D"),IF($L170="DesignDataPlusQA","A",IF($L170="DesignData","B","C")))</f>
        <v>C</v>
      </c>
      <c r="BL170" s="20" t="str">
        <f ca="1">OFFSET(Tab.Uncertainty.Levels!$A$1,MATCH(BL$88,Tab.Uncertainty.Levels!$A:$A,0)-1,MATCH(BL$87&amp;"_"&amp;BK170,Tab.Uncertainty.Levels!$1:$1,0)-1)</f>
        <v>Insulation thickness determined by inspection onsite / record or statement of owner</v>
      </c>
      <c r="BM170" s="24">
        <f ca="1">OFFSET(Tab.Uncertainty.Levels!$A$1,MATCH(BM$88,Tab.Uncertainty.Levels!$A:$A,0)-1,MATCH(BM$87&amp;"_"&amp;BK170,Tab.Uncertainty.Levels!$1:$1,0)-1)</f>
        <v>0.25</v>
      </c>
      <c r="BN170" s="34">
        <f ca="1">OFFSET(Tab.Uncertainty.Levels!$A$1,MATCH(BN$88,Tab.Uncertainty.Levels!$A:$A,0)-1,MATCH(BN$87&amp;"_"&amp;BK170,Tab.Uncertainty.Levels!$1:$1,0)-1)</f>
        <v>2</v>
      </c>
      <c r="BO170" s="13">
        <f ca="1">IFERROR(MIN(BM170,BN170/AN170),0)</f>
        <v>0.16666666666666666</v>
      </c>
      <c r="BP170" s="32" t="str">
        <f>IF(OR($L170="NoDataSource",IFERROR(IF($V170="",#N/A,$V170),0)=0),IF(IFERROR(IF(U170="",#N/A,U170),0)=0,"E","D"),IF($L170="DesignDataPlusQA","A",IF($L170="DesignData","B","C")))</f>
        <v>D</v>
      </c>
      <c r="BQ170" s="20" t="str">
        <f ca="1">OFFSET(Tab.Uncertainty.Levels!$A$1,MATCH(BQ$88,Tab.Uncertainty.Levels!$A:$A,0)-1,MATCH(BQ$87&amp;"_"&amp;BP170,Tab.Uncertainty.Levels!$1:$1,0)-1)</f>
        <v>Insulation available; no information about material</v>
      </c>
      <c r="BR170" s="97">
        <f ca="1">OFFSET(Tab.Uncertainty.Levels!$A$1,MATCH(BR$88,Tab.Uncertainty.Levels!$A:$A,0)-1,MATCH(BR$87&amp;"_"&amp;BP170,Tab.Uncertainty.Levels!$1:$1,0)-1)</f>
        <v>0.2</v>
      </c>
      <c r="BS170" s="32" t="str">
        <f>IF(L170="NoDataSource","D",IF(IFERROR(IF($T170="",#N/A,$T170),0)=0,IF(OR(IFERROR(IF($S170="",#N/A,$S170),0)&gt;0,$R170="Refurbish"),"D","E"),IF($L170="DesignDataPlusQA","A",IF($L170="DesignData","B","C"))))</f>
        <v>C</v>
      </c>
      <c r="BT170" s="20" t="str">
        <f ca="1">OFFSET(Tab.Uncertainty.Levels!$A$1,MATCH(BT$88,Tab.Uncertainty.Levels!$A:$A,0)-1,MATCH(BT$87&amp;"_"&amp;BS170,Tab.Uncertainty.Levels!$1:$1,0)-1)</f>
        <v>Insulation fraction determined by inspection onsite / record or statement of owner</v>
      </c>
      <c r="BU170" s="33">
        <f ca="1">OFFSET(Tab.Uncertainty.Levels!$A$1,MATCH(BU$88,Tab.Uncertainty.Levels!$A:$A,0)-1,MATCH(BU$87&amp;"_"&amp;BS170,Tab.Uncertainty.Levels!$1:$1,0)-1)</f>
        <v>0.2</v>
      </c>
      <c r="BV170" s="13">
        <f ca="1">IFERROR(MIN(BU170/AW170,1,(1-AW170)/AW170),0)</f>
        <v>1</v>
      </c>
      <c r="BW170" s="96">
        <f ca="1">ABS(1+(AW170*(1/(1+AN170/100/AP170*AG170)^2-1)))*BJ170*$AG170</f>
        <v>0.32534173789831772</v>
      </c>
      <c r="BX170" s="96">
        <f ca="1">ABS(-AG170+1/(1/AG170+AN170/100/AP170))*BV170*AW170</f>
        <v>9.6632849162011175E-2</v>
      </c>
      <c r="BY170" s="96">
        <f ca="1">ABS(-AW170*AP170/((AP170/AG170+AN170/100)^2))*(BO170*AN170/100)</f>
        <v>3.149115196154927E-3</v>
      </c>
      <c r="BZ170" s="202">
        <f ca="1">ABS(AW170*AN170/100/(1/AG170*AP170+AN170/100)^2)*(BR170*AP170)</f>
        <v>3.7789382353859125E-3</v>
      </c>
      <c r="CA170" s="103">
        <f t="shared" ca="1" si="117"/>
        <v>0.33942503039194266</v>
      </c>
      <c r="CB170" s="37">
        <f t="shared" ca="1" si="132"/>
        <v>0.29486262813898906</v>
      </c>
      <c r="CC170" s="37">
        <f t="shared" ca="1" si="133"/>
        <v>8.7579958392471763E-2</v>
      </c>
      <c r="CD170" s="37">
        <f t="shared" ca="1" si="134"/>
        <v>2.8540954783393968E-3</v>
      </c>
      <c r="CE170" s="37">
        <f t="shared" ca="1" si="135"/>
        <v>3.4249145740072764E-3</v>
      </c>
      <c r="CF170" s="13">
        <f t="shared" ca="1" si="136"/>
        <v>0.30762655035919373</v>
      </c>
      <c r="CG170" s="101">
        <f ca="1">AG170</f>
        <v>1.2</v>
      </c>
      <c r="CH170" s="101">
        <f>AW170</f>
        <v>0.10010000000000001</v>
      </c>
      <c r="CI170" s="203">
        <f>IF(CH170&gt;0,AN170,0)</f>
        <v>12</v>
      </c>
      <c r="CJ170" s="102">
        <f ca="1">IF(AND(CH170&gt;0,CI170&gt;0),AP170,0)</f>
        <v>3.5000000000000003E-2</v>
      </c>
      <c r="CK170" s="102">
        <f ca="1">BB170</f>
        <v>1.1033671508379888</v>
      </c>
      <c r="CL170" s="37">
        <f t="shared" ca="1" si="99"/>
        <v>0.3</v>
      </c>
      <c r="CM170" s="37">
        <f t="shared" ca="1" si="100"/>
        <v>1</v>
      </c>
      <c r="CN170" s="37">
        <f t="shared" ca="1" si="101"/>
        <v>0.16666666666666666</v>
      </c>
      <c r="CO170" s="37">
        <f t="shared" ca="1" si="102"/>
        <v>0.2</v>
      </c>
      <c r="CP170" s="37">
        <f t="shared" ca="1" si="103"/>
        <v>0.30762655035919373</v>
      </c>
      <c r="CQ170" s="95">
        <f t="shared" ca="1" si="104"/>
        <v>0.36</v>
      </c>
      <c r="CR170" s="95">
        <f t="shared" ca="1" si="105"/>
        <v>0.10010000000000001</v>
      </c>
      <c r="CS170" s="95">
        <f t="shared" ca="1" si="106"/>
        <v>2</v>
      </c>
      <c r="CT170" s="103">
        <f t="shared" ca="1" si="107"/>
        <v>7.000000000000001E-3</v>
      </c>
      <c r="CU170" s="95">
        <f t="shared" ca="1" si="108"/>
        <v>0.33942503039194266</v>
      </c>
      <c r="CV170" s="37">
        <f ca="1">$CB170^2/$CF170^2</f>
        <v>0.91873832518139853</v>
      </c>
      <c r="CW170" s="37">
        <f ca="1">$CD170^2/$CF170^2</f>
        <v>8.6077444326276004E-5</v>
      </c>
      <c r="CX170" s="37">
        <f ca="1">$CE170^2/$CF170^2</f>
        <v>1.2395151982983745E-4</v>
      </c>
      <c r="CY170" s="37">
        <f ca="1">$CC170^2/$CF170^2</f>
        <v>8.1051645854445312E-2</v>
      </c>
      <c r="DA170" s="98" t="s">
        <v>214</v>
      </c>
      <c r="DB170" s="36">
        <f ca="1">OFFSET($A$1,ROW(DB170)-1,MATCH(DA170,$1:$1,0)-1)</f>
        <v>12</v>
      </c>
      <c r="DC170" s="9">
        <f ca="1">BB170</f>
        <v>1.1033671508379888</v>
      </c>
      <c r="DD170" s="9">
        <f ca="1">$DC170+$CA170</f>
        <v>1.4427921812299314</v>
      </c>
      <c r="DE170" s="9">
        <f ca="1">$DC170-$CA170</f>
        <v>0.76394212044604615</v>
      </c>
      <c r="DF170" s="10">
        <f t="shared" ca="1" si="87"/>
        <v>0.30762655035919367</v>
      </c>
    </row>
    <row r="171" spans="1:110" s="8" customFormat="1" ht="32.4" customHeight="1">
      <c r="A171" s="206" t="s">
        <v>607</v>
      </c>
      <c r="B171" s="208" t="s">
        <v>2344</v>
      </c>
      <c r="C171" s="206" t="str">
        <f t="shared" si="138"/>
        <v>Parameter-Variation: f_Insulation = 20%</v>
      </c>
      <c r="D171" s="206"/>
      <c r="E171" s="206" t="s">
        <v>201</v>
      </c>
      <c r="F171" s="206" t="str">
        <f t="shared" si="139"/>
        <v>20%</v>
      </c>
      <c r="G171" s="206" t="s">
        <v>2170</v>
      </c>
      <c r="H171" s="206" t="s">
        <v>2171</v>
      </c>
      <c r="I171" s="156" t="s">
        <v>80</v>
      </c>
      <c r="J171" s="156" t="s">
        <v>134</v>
      </c>
      <c r="K171" s="156" t="s">
        <v>155</v>
      </c>
      <c r="L171" s="156" t="s">
        <v>66</v>
      </c>
      <c r="M171" s="156" t="s">
        <v>188</v>
      </c>
      <c r="N171" s="7">
        <v>1960</v>
      </c>
      <c r="O171" s="156">
        <v>1</v>
      </c>
      <c r="P171" s="156">
        <v>0</v>
      </c>
      <c r="Q171" s="156" t="s">
        <v>435</v>
      </c>
      <c r="R171" s="156" t="s">
        <v>58</v>
      </c>
      <c r="S171" s="19">
        <v>12</v>
      </c>
      <c r="T171" s="19">
        <f t="shared" ref="T171:T179" si="142">T170+0.1</f>
        <v>0.2001</v>
      </c>
      <c r="U171" s="19">
        <v>2016</v>
      </c>
      <c r="V171" s="19" t="e">
        <v>#N/A</v>
      </c>
      <c r="W171" s="28" t="s">
        <v>59</v>
      </c>
      <c r="X171" s="19" t="e">
        <v>#N/A</v>
      </c>
      <c r="Y171" s="105">
        <f ca="1">IFERROR(OFFSET(Tab.Const.ConstrBorder!$A$1,MATCH(Q171,Tab.Const.ConstrBorder!$A:$A,0)-1,MATCH(Y$87,Tab.Const.ConstrBorder!$1:$1,0)-1),0)</f>
        <v>0</v>
      </c>
      <c r="Z171" s="18">
        <f t="shared" si="110"/>
        <v>1960</v>
      </c>
      <c r="AA171" s="17">
        <f>MATCH(Z171,Tab.Year.Period!$11:$11,1)-3</f>
        <v>5</v>
      </c>
      <c r="AB171" s="17">
        <f>MATCH(AB$88&amp;"."&amp;TEXT(AA171,"00"),Tab.U.Default!$A:$A,0)</f>
        <v>28</v>
      </c>
      <c r="AC171" s="105">
        <f ca="1">OFFSET(Tab.U.Default!$A$1,$AB171-1,MATCH("U_Class_"&amp;IF($J171="TopCeiling","UpperCeiling",$J171)&amp;"_"&amp;AC$87,Tab.U.Default!$1:$1,0)-1)</f>
        <v>1.2</v>
      </c>
      <c r="AD171" s="105">
        <f ca="1">OFFSET(Tab.U.Default!$A$1,$AB171-1,MATCH("U_Class_"&amp;IF($J171="TopCeiling","UpperCeiling",$J171)&amp;"_"&amp;AD$87,Tab.U.Default!$1:$1,0)-1)</f>
        <v>1.2</v>
      </c>
      <c r="AE171" s="105">
        <f ca="1">OFFSET(Tab.U.Default!$A$1,$AB171-1,MATCH("U_Class_"&amp;IF($J171="TopCeiling","UpperCeiling",$J171)&amp;"_"&amp;AE$87,Tab.U.Default!$1:$1,0)-1)</f>
        <v>0.8</v>
      </c>
      <c r="AF171" s="26">
        <f t="shared" ca="1" si="96"/>
        <v>1.2</v>
      </c>
      <c r="AG171" s="26">
        <f t="shared" ca="1" si="97"/>
        <v>1.2</v>
      </c>
      <c r="AH171" s="18" t="str">
        <f t="shared" si="124"/>
        <v>Refurbish</v>
      </c>
      <c r="AI171" s="18" t="str">
        <f t="shared" si="111"/>
        <v>Add</v>
      </c>
      <c r="AJ171" s="18">
        <f t="shared" si="98"/>
        <v>2016</v>
      </c>
      <c r="AK171" s="17">
        <f>MATCH(AJ171,Tab.Year.Period!$11:$11,1)-3</f>
        <v>12</v>
      </c>
      <c r="AL171" s="17">
        <f>MATCH(AL$88&amp;"."&amp;TEXT(AK171,"00"),Tab.Insulation.Default!$A:$A,0)</f>
        <v>23</v>
      </c>
      <c r="AM171" s="20" t="e">
        <f ca="1">IF(ISNA(IF(S171="",#N/A,S171)),OFFSET(Tab.Insulation.Default!$A$1,$AL171-1,MATCH(AM$87&amp;"_"&amp;$K171,Tab.Insulation.Default!$1:$1,0)-1),#N/A)</f>
        <v>#N/A</v>
      </c>
      <c r="AN171" s="27">
        <f t="shared" si="112"/>
        <v>12</v>
      </c>
      <c r="AO171" s="22">
        <f ca="1">IF(ISNA(IF(V171="",#N/A,V171)),OFFSET(Tab.Insulation.Default!$A$1,$AL171-1,MATCH(AO$87&amp;"_"&amp;$K171,Tab.Insulation.Default!$1:$1,0)-1),#N/A)</f>
        <v>3.5000000000000003E-2</v>
      </c>
      <c r="AP171" s="23">
        <f t="shared" ca="1" si="113"/>
        <v>3.5000000000000003E-2</v>
      </c>
      <c r="AQ171" s="29" t="str">
        <f t="shared" si="125"/>
        <v>Gen.Refurbished.12</v>
      </c>
      <c r="AR171" s="17">
        <f>MATCH(AR$88&amp;"."&amp;AQ171,Tab.Measure.f.Default!$A:$A,0)</f>
        <v>23</v>
      </c>
      <c r="AS171" s="21">
        <f ca="1">OFFSET(Tab.Measure.f.Default!$A$1,AR171-1,MATCH(AS$87&amp;"_"&amp;$J171,Tab.Measure.f.Default!$1:$1,0)-1)</f>
        <v>0.75</v>
      </c>
      <c r="AT171" s="29" t="str">
        <f t="shared" si="126"/>
        <v>MUH.NA.05</v>
      </c>
      <c r="AU171" s="17">
        <f>MATCH(AU$88&amp;"."&amp;AT171,Tab.Measure.f.Default!$A:$A,0)</f>
        <v>40</v>
      </c>
      <c r="AV171" s="21">
        <f ca="1">OFFSET(Tab.Measure.f.Default!$A$1,AU171-1,MATCH(AV$87&amp;"_"&amp;$J171,Tab.Measure.f.Default!$1:$1,0)-1)</f>
        <v>0.37</v>
      </c>
      <c r="AW171" s="30">
        <f t="shared" si="114"/>
        <v>0.2001</v>
      </c>
      <c r="AX171" s="9">
        <f t="shared" ca="1" si="127"/>
        <v>0.83333333333333337</v>
      </c>
      <c r="AY171" s="9">
        <f t="shared" ca="1" si="128"/>
        <v>3.4285714285714279</v>
      </c>
      <c r="AZ171" s="9">
        <f t="shared" ca="1" si="140"/>
        <v>4.261904761904761</v>
      </c>
      <c r="BA171" s="9">
        <f t="shared" ca="1" si="141"/>
        <v>0.23463687150837995</v>
      </c>
      <c r="BB171" s="9">
        <f t="shared" ca="1" si="129"/>
        <v>1.0068308379888269</v>
      </c>
      <c r="BC171" s="32" t="str">
        <f t="shared" si="130"/>
        <v>D</v>
      </c>
      <c r="BD171" s="20" t="str">
        <f ca="1">OFFSET(Tab.Uncertainty.Levels!$A$1,MATCH(BD$88,Tab.Uncertainty.Levels!$A:$A,0)-1,MATCH(BD$87&amp;"_"&amp;BC171,Tab.Uncertainty.Levels!$1:$1,0)-1)</f>
        <v>Use of default values; building constructed until 1983</v>
      </c>
      <c r="BE171" s="24">
        <f ca="1">OFFSET(Tab.Uncertainty.Levels!$A$1,MATCH(BE$88,Tab.Uncertainty.Levels!$A:$A,0)-1,MATCH(BE$87&amp;"_"&amp;BC171,Tab.Uncertainty.Levels!$1:$1,0)-1)</f>
        <v>0.3</v>
      </c>
      <c r="BF171" s="32" t="str">
        <f t="shared" si="131"/>
        <v>-</v>
      </c>
      <c r="BG171" s="20" t="e">
        <f ca="1">OFFSET(Tab.Uncertainty.Levels!$A$1,MATCH(BG$88,Tab.Uncertainty.Levels!$A:$A,0)-1,MATCH(BG$87&amp;"_"&amp;BF171,Tab.Uncertainty.Levels!$1:$1,0)-1)</f>
        <v>#N/A</v>
      </c>
      <c r="BH171" s="24" t="e">
        <f ca="1">OFFSET(Tab.Uncertainty.Levels!$A$1,MATCH(BH$88,Tab.Uncertainty.Levels!$A:$A,0)-1,MATCH(BH$87&amp;"_"&amp;BF171,Tab.Uncertainty.Levels!$1:$1,0)-1)</f>
        <v>#N/A</v>
      </c>
      <c r="BI171" s="32" t="str">
        <f t="shared" si="137"/>
        <v>D</v>
      </c>
      <c r="BJ171" s="13">
        <f ca="1">IF(BF171="-",BE171,BH171)</f>
        <v>0.3</v>
      </c>
      <c r="BK171" s="32" t="str">
        <f>IF(OR($L171="NoDataSource",IFERROR(IF($S171="",#N/A,$S171),0)=0),IF(IFERROR(IF(U171="",#N/A,U171),0)=0,"E","D"),IF($L171="DesignDataPlusQA","A",IF($L171="DesignData","B","C")))</f>
        <v>C</v>
      </c>
      <c r="BL171" s="20" t="str">
        <f ca="1">OFFSET(Tab.Uncertainty.Levels!$A$1,MATCH(BL$88,Tab.Uncertainty.Levels!$A:$A,0)-1,MATCH(BL$87&amp;"_"&amp;BK171,Tab.Uncertainty.Levels!$1:$1,0)-1)</f>
        <v>Insulation thickness determined by inspection onsite / record or statement of owner</v>
      </c>
      <c r="BM171" s="24">
        <f ca="1">OFFSET(Tab.Uncertainty.Levels!$A$1,MATCH(BM$88,Tab.Uncertainty.Levels!$A:$A,0)-1,MATCH(BM$87&amp;"_"&amp;BK171,Tab.Uncertainty.Levels!$1:$1,0)-1)</f>
        <v>0.25</v>
      </c>
      <c r="BN171" s="34">
        <f ca="1">OFFSET(Tab.Uncertainty.Levels!$A$1,MATCH(BN$88,Tab.Uncertainty.Levels!$A:$A,0)-1,MATCH(BN$87&amp;"_"&amp;BK171,Tab.Uncertainty.Levels!$1:$1,0)-1)</f>
        <v>2</v>
      </c>
      <c r="BO171" s="13">
        <f ca="1">IFERROR(MIN(BM171,BN171/AN171),0)</f>
        <v>0.16666666666666666</v>
      </c>
      <c r="BP171" s="32" t="str">
        <f>IF(OR($L171="NoDataSource",IFERROR(IF($V171="",#N/A,$V171),0)=0),IF(IFERROR(IF(U171="",#N/A,U171),0)=0,"E","D"),IF($L171="DesignDataPlusQA","A",IF($L171="DesignData","B","C")))</f>
        <v>D</v>
      </c>
      <c r="BQ171" s="20" t="str">
        <f ca="1">OFFSET(Tab.Uncertainty.Levels!$A$1,MATCH(BQ$88,Tab.Uncertainty.Levels!$A:$A,0)-1,MATCH(BQ$87&amp;"_"&amp;BP171,Tab.Uncertainty.Levels!$1:$1,0)-1)</f>
        <v>Insulation available; no information about material</v>
      </c>
      <c r="BR171" s="97">
        <f ca="1">OFFSET(Tab.Uncertainty.Levels!$A$1,MATCH(BR$88,Tab.Uncertainty.Levels!$A:$A,0)-1,MATCH(BR$87&amp;"_"&amp;BP171,Tab.Uncertainty.Levels!$1:$1,0)-1)</f>
        <v>0.2</v>
      </c>
      <c r="BS171" s="32" t="str">
        <f>IF(L171="NoDataSource","D",IF(IFERROR(IF($T171="",#N/A,$T171),0)=0,IF(OR(IFERROR(IF($S171="",#N/A,$S171),0)&gt;0,$R171="Refurbish"),"D","E"),IF($L171="DesignDataPlusQA","A",IF($L171="DesignData","B","C"))))</f>
        <v>C</v>
      </c>
      <c r="BT171" s="20" t="str">
        <f ca="1">OFFSET(Tab.Uncertainty.Levels!$A$1,MATCH(BT$88,Tab.Uncertainty.Levels!$A:$A,0)-1,MATCH(BT$87&amp;"_"&amp;BS171,Tab.Uncertainty.Levels!$1:$1,0)-1)</f>
        <v>Insulation fraction determined by inspection onsite / record or statement of owner</v>
      </c>
      <c r="BU171" s="33">
        <f ca="1">OFFSET(Tab.Uncertainty.Levels!$A$1,MATCH(BU$88,Tab.Uncertainty.Levels!$A:$A,0)-1,MATCH(BU$87&amp;"_"&amp;BS171,Tab.Uncertainty.Levels!$1:$1,0)-1)</f>
        <v>0.2</v>
      </c>
      <c r="BV171" s="13">
        <f ca="1">IFERROR(MIN(BU171/AW171,1,(1-AW171)/AW171),0)</f>
        <v>0.99950024987506247</v>
      </c>
      <c r="BW171" s="96">
        <f ca="1">ABS(1+(AW171*(1/(1+AN171/100/AP171*AG171)^2-1)))*BJ171*$AG171</f>
        <v>0.29071809943509874</v>
      </c>
      <c r="BX171" s="96">
        <f ca="1">ABS(-AG171+1/(1/AG171+AN171/100/AP171))*BV171*AW171</f>
        <v>0.19307262569832401</v>
      </c>
      <c r="BY171" s="96">
        <f ca="1">ABS(-AW171*AP171/((AP171/AG171+AN171/100)^2))*(BO171*AN171/100)</f>
        <v>6.2950844230829266E-3</v>
      </c>
      <c r="BZ171" s="202">
        <f ca="1">ABS(AW171*AN171/100/(1/AG171*AP171+AN171/100)^2)*(BR171*AP171)</f>
        <v>7.5541013076995114E-3</v>
      </c>
      <c r="CA171" s="103">
        <f t="shared" ca="1" si="117"/>
        <v>0.34912855034737822</v>
      </c>
      <c r="CB171" s="37">
        <f t="shared" ca="1" si="132"/>
        <v>0.28874572417330441</v>
      </c>
      <c r="CC171" s="37">
        <f t="shared" ca="1" si="133"/>
        <v>0.19176272558753965</v>
      </c>
      <c r="CD171" s="37">
        <f t="shared" ca="1" si="134"/>
        <v>6.2523754592753002E-3</v>
      </c>
      <c r="CE171" s="37">
        <f t="shared" ca="1" si="135"/>
        <v>7.5028505511303594E-3</v>
      </c>
      <c r="CF171" s="13">
        <f t="shared" ca="1" si="136"/>
        <v>0.34675988971967964</v>
      </c>
      <c r="CG171" s="101">
        <f ca="1">AG171</f>
        <v>1.2</v>
      </c>
      <c r="CH171" s="101">
        <f>AW171</f>
        <v>0.2001</v>
      </c>
      <c r="CI171" s="203">
        <f>IF(CH171&gt;0,AN171,0)</f>
        <v>12</v>
      </c>
      <c r="CJ171" s="102">
        <f ca="1">IF(AND(CH171&gt;0,CI171&gt;0),AP171,0)</f>
        <v>3.5000000000000003E-2</v>
      </c>
      <c r="CK171" s="102">
        <f ca="1">BB171</f>
        <v>1.0068308379888269</v>
      </c>
      <c r="CL171" s="37">
        <f t="shared" ca="1" si="99"/>
        <v>0.3</v>
      </c>
      <c r="CM171" s="37">
        <f t="shared" ca="1" si="100"/>
        <v>0.99950024987506247</v>
      </c>
      <c r="CN171" s="37">
        <f t="shared" ca="1" si="101"/>
        <v>0.16666666666666666</v>
      </c>
      <c r="CO171" s="37">
        <f t="shared" ca="1" si="102"/>
        <v>0.2</v>
      </c>
      <c r="CP171" s="37">
        <f t="shared" ca="1" si="103"/>
        <v>0.34675988971967964</v>
      </c>
      <c r="CQ171" s="95">
        <f t="shared" ca="1" si="104"/>
        <v>0.36</v>
      </c>
      <c r="CR171" s="95">
        <f t="shared" ca="1" si="105"/>
        <v>0.2</v>
      </c>
      <c r="CS171" s="95">
        <f t="shared" ca="1" si="106"/>
        <v>2</v>
      </c>
      <c r="CT171" s="103">
        <f t="shared" ca="1" si="107"/>
        <v>7.000000000000001E-3</v>
      </c>
      <c r="CU171" s="95">
        <f t="shared" ca="1" si="108"/>
        <v>0.34912855034737822</v>
      </c>
      <c r="CV171" s="37">
        <f ca="1">$CB171^2/$CF171^2</f>
        <v>0.6933833538353853</v>
      </c>
      <c r="CW171" s="37">
        <f ca="1">$CD171^2/$CF171^2</f>
        <v>3.2511154150209094E-4</v>
      </c>
      <c r="CX171" s="37">
        <f ca="1">$CE171^2/$CF171^2</f>
        <v>4.6816061976301084E-4</v>
      </c>
      <c r="CY171" s="37">
        <f ca="1">$CC171^2/$CF171^2</f>
        <v>0.30582337400334947</v>
      </c>
      <c r="DA171" s="98" t="s">
        <v>214</v>
      </c>
      <c r="DB171" s="36">
        <f ca="1">OFFSET($A$1,ROW(DB171)-1,MATCH(DA171,$1:$1,0)-1)</f>
        <v>12</v>
      </c>
      <c r="DC171" s="9">
        <f ca="1">BB171</f>
        <v>1.0068308379888269</v>
      </c>
      <c r="DD171" s="9">
        <f ca="1">$DC171+$CA171</f>
        <v>1.3559593883362051</v>
      </c>
      <c r="DE171" s="9">
        <f ca="1">$DC171-$CA171</f>
        <v>0.65770228764144867</v>
      </c>
      <c r="DF171" s="10">
        <f t="shared" ca="1" si="87"/>
        <v>0.34675988971967964</v>
      </c>
    </row>
    <row r="172" spans="1:110" s="8" customFormat="1" ht="32.4" customHeight="1">
      <c r="A172" s="206" t="s">
        <v>608</v>
      </c>
      <c r="B172" s="208" t="s">
        <v>2344</v>
      </c>
      <c r="C172" s="206" t="str">
        <f t="shared" si="138"/>
        <v>Parameter-Variation: f_Insulation = 30%</v>
      </c>
      <c r="D172" s="206"/>
      <c r="E172" s="206" t="s">
        <v>201</v>
      </c>
      <c r="F172" s="206" t="str">
        <f t="shared" si="139"/>
        <v>30%</v>
      </c>
      <c r="G172" s="206" t="s">
        <v>2170</v>
      </c>
      <c r="H172" s="206" t="s">
        <v>2171</v>
      </c>
      <c r="I172" s="156" t="s">
        <v>80</v>
      </c>
      <c r="J172" s="156" t="s">
        <v>134</v>
      </c>
      <c r="K172" s="156" t="s">
        <v>155</v>
      </c>
      <c r="L172" s="156" t="s">
        <v>66</v>
      </c>
      <c r="M172" s="156" t="s">
        <v>188</v>
      </c>
      <c r="N172" s="7">
        <v>1960</v>
      </c>
      <c r="O172" s="156">
        <v>1</v>
      </c>
      <c r="P172" s="156">
        <v>0</v>
      </c>
      <c r="Q172" s="156" t="s">
        <v>435</v>
      </c>
      <c r="R172" s="156" t="s">
        <v>58</v>
      </c>
      <c r="S172" s="19">
        <v>12</v>
      </c>
      <c r="T172" s="19">
        <f t="shared" si="142"/>
        <v>0.30010000000000003</v>
      </c>
      <c r="U172" s="19">
        <v>2016</v>
      </c>
      <c r="V172" s="19" t="e">
        <v>#N/A</v>
      </c>
      <c r="W172" s="28" t="s">
        <v>59</v>
      </c>
      <c r="X172" s="19" t="e">
        <v>#N/A</v>
      </c>
      <c r="Y172" s="105">
        <f ca="1">IFERROR(OFFSET(Tab.Const.ConstrBorder!$A$1,MATCH(Q172,Tab.Const.ConstrBorder!$A:$A,0)-1,MATCH(Y$87,Tab.Const.ConstrBorder!$1:$1,0)-1),0)</f>
        <v>0</v>
      </c>
      <c r="Z172" s="18">
        <f t="shared" si="110"/>
        <v>1960</v>
      </c>
      <c r="AA172" s="17">
        <f>MATCH(Z172,Tab.Year.Period!$11:$11,1)-3</f>
        <v>5</v>
      </c>
      <c r="AB172" s="17">
        <f>MATCH(AB$88&amp;"."&amp;TEXT(AA172,"00"),Tab.U.Default!$A:$A,0)</f>
        <v>28</v>
      </c>
      <c r="AC172" s="105">
        <f ca="1">OFFSET(Tab.U.Default!$A$1,$AB172-1,MATCH("U_Class_"&amp;IF($J172="TopCeiling","UpperCeiling",$J172)&amp;"_"&amp;AC$87,Tab.U.Default!$1:$1,0)-1)</f>
        <v>1.2</v>
      </c>
      <c r="AD172" s="105">
        <f ca="1">OFFSET(Tab.U.Default!$A$1,$AB172-1,MATCH("U_Class_"&amp;IF($J172="TopCeiling","UpperCeiling",$J172)&amp;"_"&amp;AD$87,Tab.U.Default!$1:$1,0)-1)</f>
        <v>1.2</v>
      </c>
      <c r="AE172" s="105">
        <f ca="1">OFFSET(Tab.U.Default!$A$1,$AB172-1,MATCH("U_Class_"&amp;IF($J172="TopCeiling","UpperCeiling",$J172)&amp;"_"&amp;AE$87,Tab.U.Default!$1:$1,0)-1)</f>
        <v>0.8</v>
      </c>
      <c r="AF172" s="26">
        <f t="shared" ca="1" si="96"/>
        <v>1.2</v>
      </c>
      <c r="AG172" s="26">
        <f t="shared" ca="1" si="97"/>
        <v>1.2</v>
      </c>
      <c r="AH172" s="18" t="str">
        <f t="shared" si="124"/>
        <v>Refurbish</v>
      </c>
      <c r="AI172" s="18" t="str">
        <f t="shared" si="111"/>
        <v>Add</v>
      </c>
      <c r="AJ172" s="18">
        <f t="shared" si="98"/>
        <v>2016</v>
      </c>
      <c r="AK172" s="17">
        <f>MATCH(AJ172,Tab.Year.Period!$11:$11,1)-3</f>
        <v>12</v>
      </c>
      <c r="AL172" s="17">
        <f>MATCH(AL$88&amp;"."&amp;TEXT(AK172,"00"),Tab.Insulation.Default!$A:$A,0)</f>
        <v>23</v>
      </c>
      <c r="AM172" s="20" t="e">
        <f ca="1">IF(ISNA(IF(S172="",#N/A,S172)),OFFSET(Tab.Insulation.Default!$A$1,$AL172-1,MATCH(AM$87&amp;"_"&amp;$K172,Tab.Insulation.Default!$1:$1,0)-1),#N/A)</f>
        <v>#N/A</v>
      </c>
      <c r="AN172" s="27">
        <f t="shared" si="112"/>
        <v>12</v>
      </c>
      <c r="AO172" s="22">
        <f ca="1">IF(ISNA(IF(V172="",#N/A,V172)),OFFSET(Tab.Insulation.Default!$A$1,$AL172-1,MATCH(AO$87&amp;"_"&amp;$K172,Tab.Insulation.Default!$1:$1,0)-1),#N/A)</f>
        <v>3.5000000000000003E-2</v>
      </c>
      <c r="AP172" s="23">
        <f t="shared" ca="1" si="113"/>
        <v>3.5000000000000003E-2</v>
      </c>
      <c r="AQ172" s="29" t="str">
        <f t="shared" si="125"/>
        <v>Gen.Refurbished.12</v>
      </c>
      <c r="AR172" s="17">
        <f>MATCH(AR$88&amp;"."&amp;AQ172,Tab.Measure.f.Default!$A:$A,0)</f>
        <v>23</v>
      </c>
      <c r="AS172" s="21">
        <f ca="1">OFFSET(Tab.Measure.f.Default!$A$1,AR172-1,MATCH(AS$87&amp;"_"&amp;$J172,Tab.Measure.f.Default!$1:$1,0)-1)</f>
        <v>0.75</v>
      </c>
      <c r="AT172" s="29" t="str">
        <f t="shared" si="126"/>
        <v>MUH.NA.05</v>
      </c>
      <c r="AU172" s="17">
        <f>MATCH(AU$88&amp;"."&amp;AT172,Tab.Measure.f.Default!$A:$A,0)</f>
        <v>40</v>
      </c>
      <c r="AV172" s="21">
        <f ca="1">OFFSET(Tab.Measure.f.Default!$A$1,AU172-1,MATCH(AV$87&amp;"_"&amp;$J172,Tab.Measure.f.Default!$1:$1,0)-1)</f>
        <v>0.37</v>
      </c>
      <c r="AW172" s="30">
        <f t="shared" si="114"/>
        <v>0.30010000000000003</v>
      </c>
      <c r="AX172" s="9">
        <f t="shared" ca="1" si="127"/>
        <v>0.83333333333333337</v>
      </c>
      <c r="AY172" s="9">
        <f t="shared" ca="1" si="128"/>
        <v>3.4285714285714279</v>
      </c>
      <c r="AZ172" s="9">
        <f t="shared" ca="1" si="140"/>
        <v>4.261904761904761</v>
      </c>
      <c r="BA172" s="9">
        <f t="shared" ca="1" si="141"/>
        <v>0.23463687150837995</v>
      </c>
      <c r="BB172" s="9">
        <f t="shared" ca="1" si="129"/>
        <v>0.9102945251396648</v>
      </c>
      <c r="BC172" s="32" t="str">
        <f t="shared" si="130"/>
        <v>D</v>
      </c>
      <c r="BD172" s="20" t="str">
        <f ca="1">OFFSET(Tab.Uncertainty.Levels!$A$1,MATCH(BD$88,Tab.Uncertainty.Levels!$A:$A,0)-1,MATCH(BD$87&amp;"_"&amp;BC172,Tab.Uncertainty.Levels!$1:$1,0)-1)</f>
        <v>Use of default values; building constructed until 1983</v>
      </c>
      <c r="BE172" s="24">
        <f ca="1">OFFSET(Tab.Uncertainty.Levels!$A$1,MATCH(BE$88,Tab.Uncertainty.Levels!$A:$A,0)-1,MATCH(BE$87&amp;"_"&amp;BC172,Tab.Uncertainty.Levels!$1:$1,0)-1)</f>
        <v>0.3</v>
      </c>
      <c r="BF172" s="32" t="str">
        <f t="shared" si="131"/>
        <v>-</v>
      </c>
      <c r="BG172" s="20" t="e">
        <f ca="1">OFFSET(Tab.Uncertainty.Levels!$A$1,MATCH(BG$88,Tab.Uncertainty.Levels!$A:$A,0)-1,MATCH(BG$87&amp;"_"&amp;BF172,Tab.Uncertainty.Levels!$1:$1,0)-1)</f>
        <v>#N/A</v>
      </c>
      <c r="BH172" s="24" t="e">
        <f ca="1">OFFSET(Tab.Uncertainty.Levels!$A$1,MATCH(BH$88,Tab.Uncertainty.Levels!$A:$A,0)-1,MATCH(BH$87&amp;"_"&amp;BF172,Tab.Uncertainty.Levels!$1:$1,0)-1)</f>
        <v>#N/A</v>
      </c>
      <c r="BI172" s="32" t="str">
        <f t="shared" si="137"/>
        <v>D</v>
      </c>
      <c r="BJ172" s="13">
        <f ca="1">IF(BF172="-",BE172,BH172)</f>
        <v>0.3</v>
      </c>
      <c r="BK172" s="32" t="str">
        <f>IF(OR($L172="NoDataSource",IFERROR(IF($S172="",#N/A,$S172),0)=0),IF(IFERROR(IF(U172="",#N/A,U172),0)=0,"E","D"),IF($L172="DesignDataPlusQA","A",IF($L172="DesignData","B","C")))</f>
        <v>C</v>
      </c>
      <c r="BL172" s="20" t="str">
        <f ca="1">OFFSET(Tab.Uncertainty.Levels!$A$1,MATCH(BL$88,Tab.Uncertainty.Levels!$A:$A,0)-1,MATCH(BL$87&amp;"_"&amp;BK172,Tab.Uncertainty.Levels!$1:$1,0)-1)</f>
        <v>Insulation thickness determined by inspection onsite / record or statement of owner</v>
      </c>
      <c r="BM172" s="24">
        <f ca="1">OFFSET(Tab.Uncertainty.Levels!$A$1,MATCH(BM$88,Tab.Uncertainty.Levels!$A:$A,0)-1,MATCH(BM$87&amp;"_"&amp;BK172,Tab.Uncertainty.Levels!$1:$1,0)-1)</f>
        <v>0.25</v>
      </c>
      <c r="BN172" s="34">
        <f ca="1">OFFSET(Tab.Uncertainty.Levels!$A$1,MATCH(BN$88,Tab.Uncertainty.Levels!$A:$A,0)-1,MATCH(BN$87&amp;"_"&amp;BK172,Tab.Uncertainty.Levels!$1:$1,0)-1)</f>
        <v>2</v>
      </c>
      <c r="BO172" s="13">
        <f ca="1">IFERROR(MIN(BM172,BN172/AN172),0)</f>
        <v>0.16666666666666666</v>
      </c>
      <c r="BP172" s="32" t="str">
        <f>IF(OR($L172="NoDataSource",IFERROR(IF($V172="",#N/A,$V172),0)=0),IF(IFERROR(IF(U172="",#N/A,U172),0)=0,"E","D"),IF($L172="DesignDataPlusQA","A",IF($L172="DesignData","B","C")))</f>
        <v>D</v>
      </c>
      <c r="BQ172" s="20" t="str">
        <f ca="1">OFFSET(Tab.Uncertainty.Levels!$A$1,MATCH(BQ$88,Tab.Uncertainty.Levels!$A:$A,0)-1,MATCH(BQ$87&amp;"_"&amp;BP172,Tab.Uncertainty.Levels!$1:$1,0)-1)</f>
        <v>Insulation available; no information about material</v>
      </c>
      <c r="BR172" s="97">
        <f ca="1">OFFSET(Tab.Uncertainty.Levels!$A$1,MATCH(BR$88,Tab.Uncertainty.Levels!$A:$A,0)-1,MATCH(BR$87&amp;"_"&amp;BP172,Tab.Uncertainty.Levels!$1:$1,0)-1)</f>
        <v>0.2</v>
      </c>
      <c r="BS172" s="32" t="str">
        <f>IF(L172="NoDataSource","D",IF(IFERROR(IF($T172="",#N/A,$T172),0)=0,IF(OR(IFERROR(IF($S172="",#N/A,$S172),0)&gt;0,$R172="Refurbish"),"D","E"),IF($L172="DesignDataPlusQA","A",IF($L172="DesignData","B","C"))))</f>
        <v>C</v>
      </c>
      <c r="BT172" s="20" t="str">
        <f ca="1">OFFSET(Tab.Uncertainty.Levels!$A$1,MATCH(BT$88,Tab.Uncertainty.Levels!$A:$A,0)-1,MATCH(BT$87&amp;"_"&amp;BS172,Tab.Uncertainty.Levels!$1:$1,0)-1)</f>
        <v>Insulation fraction determined by inspection onsite / record or statement of owner</v>
      </c>
      <c r="BU172" s="33">
        <f ca="1">OFFSET(Tab.Uncertainty.Levels!$A$1,MATCH(BU$88,Tab.Uncertainty.Levels!$A:$A,0)-1,MATCH(BU$87&amp;"_"&amp;BS172,Tab.Uncertainty.Levels!$1:$1,0)-1)</f>
        <v>0.2</v>
      </c>
      <c r="BV172" s="13">
        <f ca="1">IFERROR(MIN(BU172/AW172,1,(1-AW172)/AW172),0)</f>
        <v>0.66644451849383535</v>
      </c>
      <c r="BW172" s="96">
        <f ca="1">ABS(1+(AW172*(1/(1+AN172/100/AP172*AG172)^2-1)))*BJ172*$AG172</f>
        <v>0.25609446097187977</v>
      </c>
      <c r="BX172" s="96">
        <f ca="1">ABS(-AG172+1/(1/AG172+AN172/100/AP172))*BV172*AW172</f>
        <v>0.19307262569832401</v>
      </c>
      <c r="BY172" s="96">
        <f ca="1">ABS(-AW172*AP172/((AP172/AG172+AN172/100)^2))*(BO172*AN172/100)</f>
        <v>9.4410536500109249E-3</v>
      </c>
      <c r="BZ172" s="202">
        <f ca="1">ABS(AW172*AN172/100/(1/AG172*AP172+AN172/100)^2)*(BR172*AP172)</f>
        <v>1.132926438001311E-2</v>
      </c>
      <c r="CA172" s="103">
        <f t="shared" ca="1" si="117"/>
        <v>0.32105902488473581</v>
      </c>
      <c r="CB172" s="37">
        <f t="shared" ca="1" si="132"/>
        <v>0.28133143054176635</v>
      </c>
      <c r="CC172" s="37">
        <f t="shared" ca="1" si="133"/>
        <v>0.21209907383404425</v>
      </c>
      <c r="CD172" s="37">
        <f t="shared" ca="1" si="134"/>
        <v>1.0371427476796482E-2</v>
      </c>
      <c r="CE172" s="37">
        <f t="shared" ca="1" si="135"/>
        <v>1.2445712972155777E-2</v>
      </c>
      <c r="CF172" s="13">
        <f t="shared" ca="1" si="136"/>
        <v>0.35269796315151553</v>
      </c>
      <c r="CG172" s="101">
        <f ca="1">AG172</f>
        <v>1.2</v>
      </c>
      <c r="CH172" s="101">
        <f>AW172</f>
        <v>0.30010000000000003</v>
      </c>
      <c r="CI172" s="203">
        <f>IF(CH172&gt;0,AN172,0)</f>
        <v>12</v>
      </c>
      <c r="CJ172" s="102">
        <f ca="1">IF(AND(CH172&gt;0,CI172&gt;0),AP172,0)</f>
        <v>3.5000000000000003E-2</v>
      </c>
      <c r="CK172" s="102">
        <f ca="1">BB172</f>
        <v>0.9102945251396648</v>
      </c>
      <c r="CL172" s="37">
        <f t="shared" ca="1" si="99"/>
        <v>0.3</v>
      </c>
      <c r="CM172" s="37">
        <f t="shared" ca="1" si="100"/>
        <v>0.66644451849383535</v>
      </c>
      <c r="CN172" s="37">
        <f t="shared" ca="1" si="101"/>
        <v>0.16666666666666666</v>
      </c>
      <c r="CO172" s="37">
        <f t="shared" ca="1" si="102"/>
        <v>0.2</v>
      </c>
      <c r="CP172" s="37">
        <f t="shared" ca="1" si="103"/>
        <v>0.35269796315151553</v>
      </c>
      <c r="CQ172" s="95">
        <f t="shared" ca="1" si="104"/>
        <v>0.36</v>
      </c>
      <c r="CR172" s="95">
        <f t="shared" ca="1" si="105"/>
        <v>0.2</v>
      </c>
      <c r="CS172" s="95">
        <f t="shared" ca="1" si="106"/>
        <v>2</v>
      </c>
      <c r="CT172" s="103">
        <f t="shared" ca="1" si="107"/>
        <v>7.000000000000001E-3</v>
      </c>
      <c r="CU172" s="95">
        <f t="shared" ca="1" si="108"/>
        <v>0.32105902488473581</v>
      </c>
      <c r="CV172" s="37">
        <f ca="1">$CB172^2/$CF172^2</f>
        <v>0.63625411754105776</v>
      </c>
      <c r="CW172" s="37">
        <f ca="1">$CD172^2/$CF172^2</f>
        <v>8.6471136400180439E-4</v>
      </c>
      <c r="CX172" s="37">
        <f ca="1">$CE172^2/$CF172^2</f>
        <v>1.2451843641625982E-3</v>
      </c>
      <c r="CY172" s="37">
        <f ca="1">$CC172^2/$CF172^2</f>
        <v>0.36163598673077774</v>
      </c>
      <c r="DA172" s="98" t="s">
        <v>214</v>
      </c>
      <c r="DB172" s="36">
        <f ca="1">OFFSET($A$1,ROW(DB172)-1,MATCH(DA172,$1:$1,0)-1)</f>
        <v>12</v>
      </c>
      <c r="DC172" s="9">
        <f ca="1">BB172</f>
        <v>0.9102945251396648</v>
      </c>
      <c r="DD172" s="9">
        <f ca="1">$DC172+$CA172</f>
        <v>1.2313535500244006</v>
      </c>
      <c r="DE172" s="9">
        <f ca="1">$DC172-$CA172</f>
        <v>0.58923550025492899</v>
      </c>
      <c r="DF172" s="10">
        <f t="shared" ca="1" si="87"/>
        <v>0.35269796315151553</v>
      </c>
    </row>
    <row r="173" spans="1:110" s="8" customFormat="1" ht="32.4" customHeight="1">
      <c r="A173" s="206" t="s">
        <v>609</v>
      </c>
      <c r="B173" s="208" t="s">
        <v>2344</v>
      </c>
      <c r="C173" s="206" t="str">
        <f t="shared" si="138"/>
        <v>Parameter-Variation: f_Insulation = 40%</v>
      </c>
      <c r="D173" s="206"/>
      <c r="E173" s="206" t="s">
        <v>201</v>
      </c>
      <c r="F173" s="206" t="str">
        <f t="shared" si="139"/>
        <v>40%</v>
      </c>
      <c r="G173" s="206" t="s">
        <v>2170</v>
      </c>
      <c r="H173" s="206" t="s">
        <v>2171</v>
      </c>
      <c r="I173" s="156" t="s">
        <v>80</v>
      </c>
      <c r="J173" s="156" t="s">
        <v>134</v>
      </c>
      <c r="K173" s="156" t="s">
        <v>155</v>
      </c>
      <c r="L173" s="156" t="s">
        <v>66</v>
      </c>
      <c r="M173" s="156" t="s">
        <v>188</v>
      </c>
      <c r="N173" s="7">
        <v>1960</v>
      </c>
      <c r="O173" s="156">
        <v>1</v>
      </c>
      <c r="P173" s="156">
        <v>0</v>
      </c>
      <c r="Q173" s="156" t="s">
        <v>435</v>
      </c>
      <c r="R173" s="156" t="s">
        <v>58</v>
      </c>
      <c r="S173" s="19">
        <v>12</v>
      </c>
      <c r="T173" s="19">
        <f t="shared" si="142"/>
        <v>0.40010000000000001</v>
      </c>
      <c r="U173" s="19">
        <v>2016</v>
      </c>
      <c r="V173" s="19" t="e">
        <v>#N/A</v>
      </c>
      <c r="W173" s="28" t="s">
        <v>59</v>
      </c>
      <c r="X173" s="19" t="e">
        <v>#N/A</v>
      </c>
      <c r="Y173" s="105">
        <f ca="1">IFERROR(OFFSET(Tab.Const.ConstrBorder!$A$1,MATCH(Q173,Tab.Const.ConstrBorder!$A:$A,0)-1,MATCH(Y$87,Tab.Const.ConstrBorder!$1:$1,0)-1),0)</f>
        <v>0</v>
      </c>
      <c r="Z173" s="18">
        <f t="shared" si="110"/>
        <v>1960</v>
      </c>
      <c r="AA173" s="17">
        <f>MATCH(Z173,Tab.Year.Period!$11:$11,1)-3</f>
        <v>5</v>
      </c>
      <c r="AB173" s="17">
        <f>MATCH(AB$88&amp;"."&amp;TEXT(AA173,"00"),Tab.U.Default!$A:$A,0)</f>
        <v>28</v>
      </c>
      <c r="AC173" s="105">
        <f ca="1">OFFSET(Tab.U.Default!$A$1,$AB173-1,MATCH("U_Class_"&amp;IF($J173="TopCeiling","UpperCeiling",$J173)&amp;"_"&amp;AC$87,Tab.U.Default!$1:$1,0)-1)</f>
        <v>1.2</v>
      </c>
      <c r="AD173" s="105">
        <f ca="1">OFFSET(Tab.U.Default!$A$1,$AB173-1,MATCH("U_Class_"&amp;IF($J173="TopCeiling","UpperCeiling",$J173)&amp;"_"&amp;AD$87,Tab.U.Default!$1:$1,0)-1)</f>
        <v>1.2</v>
      </c>
      <c r="AE173" s="105">
        <f ca="1">OFFSET(Tab.U.Default!$A$1,$AB173-1,MATCH("U_Class_"&amp;IF($J173="TopCeiling","UpperCeiling",$J173)&amp;"_"&amp;AE$87,Tab.U.Default!$1:$1,0)-1)</f>
        <v>0.8</v>
      </c>
      <c r="AF173" s="26">
        <f t="shared" ca="1" si="96"/>
        <v>1.2</v>
      </c>
      <c r="AG173" s="26">
        <f t="shared" ca="1" si="97"/>
        <v>1.2</v>
      </c>
      <c r="AH173" s="18" t="str">
        <f t="shared" si="124"/>
        <v>Refurbish</v>
      </c>
      <c r="AI173" s="18" t="str">
        <f t="shared" si="111"/>
        <v>Add</v>
      </c>
      <c r="AJ173" s="18">
        <f t="shared" si="98"/>
        <v>2016</v>
      </c>
      <c r="AK173" s="17">
        <f>MATCH(AJ173,Tab.Year.Period!$11:$11,1)-3</f>
        <v>12</v>
      </c>
      <c r="AL173" s="17">
        <f>MATCH(AL$88&amp;"."&amp;TEXT(AK173,"00"),Tab.Insulation.Default!$A:$A,0)</f>
        <v>23</v>
      </c>
      <c r="AM173" s="20" t="e">
        <f ca="1">IF(ISNA(IF(S173="",#N/A,S173)),OFFSET(Tab.Insulation.Default!$A$1,$AL173-1,MATCH(AM$87&amp;"_"&amp;$K173,Tab.Insulation.Default!$1:$1,0)-1),#N/A)</f>
        <v>#N/A</v>
      </c>
      <c r="AN173" s="27">
        <f t="shared" si="112"/>
        <v>12</v>
      </c>
      <c r="AO173" s="22">
        <f ca="1">IF(ISNA(IF(V173="",#N/A,V173)),OFFSET(Tab.Insulation.Default!$A$1,$AL173-1,MATCH(AO$87&amp;"_"&amp;$K173,Tab.Insulation.Default!$1:$1,0)-1),#N/A)</f>
        <v>3.5000000000000003E-2</v>
      </c>
      <c r="AP173" s="23">
        <f t="shared" ca="1" si="113"/>
        <v>3.5000000000000003E-2</v>
      </c>
      <c r="AQ173" s="29" t="str">
        <f t="shared" si="125"/>
        <v>Gen.Refurbished.12</v>
      </c>
      <c r="AR173" s="17">
        <f>MATCH(AR$88&amp;"."&amp;AQ173,Tab.Measure.f.Default!$A:$A,0)</f>
        <v>23</v>
      </c>
      <c r="AS173" s="21">
        <f ca="1">OFFSET(Tab.Measure.f.Default!$A$1,AR173-1,MATCH(AS$87&amp;"_"&amp;$J173,Tab.Measure.f.Default!$1:$1,0)-1)</f>
        <v>0.75</v>
      </c>
      <c r="AT173" s="29" t="str">
        <f t="shared" si="126"/>
        <v>MUH.NA.05</v>
      </c>
      <c r="AU173" s="17">
        <f>MATCH(AU$88&amp;"."&amp;AT173,Tab.Measure.f.Default!$A:$A,0)</f>
        <v>40</v>
      </c>
      <c r="AV173" s="21">
        <f ca="1">OFFSET(Tab.Measure.f.Default!$A$1,AU173-1,MATCH(AV$87&amp;"_"&amp;$J173,Tab.Measure.f.Default!$1:$1,0)-1)</f>
        <v>0.37</v>
      </c>
      <c r="AW173" s="30">
        <f t="shared" si="114"/>
        <v>0.40010000000000001</v>
      </c>
      <c r="AX173" s="9">
        <f t="shared" ca="1" si="127"/>
        <v>0.83333333333333337</v>
      </c>
      <c r="AY173" s="9">
        <f t="shared" ca="1" si="128"/>
        <v>3.4285714285714279</v>
      </c>
      <c r="AZ173" s="9">
        <f t="shared" ca="1" si="140"/>
        <v>4.261904761904761</v>
      </c>
      <c r="BA173" s="9">
        <f t="shared" ca="1" si="141"/>
        <v>0.23463687150837995</v>
      </c>
      <c r="BB173" s="9">
        <f t="shared" ca="1" si="129"/>
        <v>0.81375821229050282</v>
      </c>
      <c r="BC173" s="32" t="str">
        <f t="shared" si="130"/>
        <v>D</v>
      </c>
      <c r="BD173" s="20" t="str">
        <f ca="1">OFFSET(Tab.Uncertainty.Levels!$A$1,MATCH(BD$88,Tab.Uncertainty.Levels!$A:$A,0)-1,MATCH(BD$87&amp;"_"&amp;BC173,Tab.Uncertainty.Levels!$1:$1,0)-1)</f>
        <v>Use of default values; building constructed until 1983</v>
      </c>
      <c r="BE173" s="24">
        <f ca="1">OFFSET(Tab.Uncertainty.Levels!$A$1,MATCH(BE$88,Tab.Uncertainty.Levels!$A:$A,0)-1,MATCH(BE$87&amp;"_"&amp;BC173,Tab.Uncertainty.Levels!$1:$1,0)-1)</f>
        <v>0.3</v>
      </c>
      <c r="BF173" s="32" t="str">
        <f t="shared" si="131"/>
        <v>-</v>
      </c>
      <c r="BG173" s="20" t="e">
        <f ca="1">OFFSET(Tab.Uncertainty.Levels!$A$1,MATCH(BG$88,Tab.Uncertainty.Levels!$A:$A,0)-1,MATCH(BG$87&amp;"_"&amp;BF173,Tab.Uncertainty.Levels!$1:$1,0)-1)</f>
        <v>#N/A</v>
      </c>
      <c r="BH173" s="24" t="e">
        <f ca="1">OFFSET(Tab.Uncertainty.Levels!$A$1,MATCH(BH$88,Tab.Uncertainty.Levels!$A:$A,0)-1,MATCH(BH$87&amp;"_"&amp;BF173,Tab.Uncertainty.Levels!$1:$1,0)-1)</f>
        <v>#N/A</v>
      </c>
      <c r="BI173" s="32" t="str">
        <f t="shared" si="137"/>
        <v>D</v>
      </c>
      <c r="BJ173" s="13">
        <f ca="1">IF(BF173="-",BE173,BH173)</f>
        <v>0.3</v>
      </c>
      <c r="BK173" s="32" t="str">
        <f>IF(OR($L173="NoDataSource",IFERROR(IF($S173="",#N/A,$S173),0)=0),IF(IFERROR(IF(U173="",#N/A,U173),0)=0,"E","D"),IF($L173="DesignDataPlusQA","A",IF($L173="DesignData","B","C")))</f>
        <v>C</v>
      </c>
      <c r="BL173" s="20" t="str">
        <f ca="1">OFFSET(Tab.Uncertainty.Levels!$A$1,MATCH(BL$88,Tab.Uncertainty.Levels!$A:$A,0)-1,MATCH(BL$87&amp;"_"&amp;BK173,Tab.Uncertainty.Levels!$1:$1,0)-1)</f>
        <v>Insulation thickness determined by inspection onsite / record or statement of owner</v>
      </c>
      <c r="BM173" s="24">
        <f ca="1">OFFSET(Tab.Uncertainty.Levels!$A$1,MATCH(BM$88,Tab.Uncertainty.Levels!$A:$A,0)-1,MATCH(BM$87&amp;"_"&amp;BK173,Tab.Uncertainty.Levels!$1:$1,0)-1)</f>
        <v>0.25</v>
      </c>
      <c r="BN173" s="34">
        <f ca="1">OFFSET(Tab.Uncertainty.Levels!$A$1,MATCH(BN$88,Tab.Uncertainty.Levels!$A:$A,0)-1,MATCH(BN$87&amp;"_"&amp;BK173,Tab.Uncertainty.Levels!$1:$1,0)-1)</f>
        <v>2</v>
      </c>
      <c r="BO173" s="13">
        <f ca="1">IFERROR(MIN(BM173,BN173/AN173),0)</f>
        <v>0.16666666666666666</v>
      </c>
      <c r="BP173" s="32" t="str">
        <f>IF(OR($L173="NoDataSource",IFERROR(IF($V173="",#N/A,$V173),0)=0),IF(IFERROR(IF(U173="",#N/A,U173),0)=0,"E","D"),IF($L173="DesignDataPlusQA","A",IF($L173="DesignData","B","C")))</f>
        <v>D</v>
      </c>
      <c r="BQ173" s="20" t="str">
        <f ca="1">OFFSET(Tab.Uncertainty.Levels!$A$1,MATCH(BQ$88,Tab.Uncertainty.Levels!$A:$A,0)-1,MATCH(BQ$87&amp;"_"&amp;BP173,Tab.Uncertainty.Levels!$1:$1,0)-1)</f>
        <v>Insulation available; no information about material</v>
      </c>
      <c r="BR173" s="97">
        <f ca="1">OFFSET(Tab.Uncertainty.Levels!$A$1,MATCH(BR$88,Tab.Uncertainty.Levels!$A:$A,0)-1,MATCH(BR$87&amp;"_"&amp;BP173,Tab.Uncertainty.Levels!$1:$1,0)-1)</f>
        <v>0.2</v>
      </c>
      <c r="BS173" s="32" t="str">
        <f>IF(L173="NoDataSource","D",IF(IFERROR(IF($T173="",#N/A,$T173),0)=0,IF(OR(IFERROR(IF($S173="",#N/A,$S173),0)&gt;0,$R173="Refurbish"),"D","E"),IF($L173="DesignDataPlusQA","A",IF($L173="DesignData","B","C"))))</f>
        <v>C</v>
      </c>
      <c r="BT173" s="20" t="str">
        <f ca="1">OFFSET(Tab.Uncertainty.Levels!$A$1,MATCH(BT$88,Tab.Uncertainty.Levels!$A:$A,0)-1,MATCH(BT$87&amp;"_"&amp;BS173,Tab.Uncertainty.Levels!$1:$1,0)-1)</f>
        <v>Insulation fraction determined by inspection onsite / record or statement of owner</v>
      </c>
      <c r="BU173" s="33">
        <f ca="1">OFFSET(Tab.Uncertainty.Levels!$A$1,MATCH(BU$88,Tab.Uncertainty.Levels!$A:$A,0)-1,MATCH(BU$87&amp;"_"&amp;BS173,Tab.Uncertainty.Levels!$1:$1,0)-1)</f>
        <v>0.2</v>
      </c>
      <c r="BV173" s="13">
        <f ca="1">IFERROR(MIN(BU173/AW173,1,(1-AW173)/AW173),0)</f>
        <v>0.49987503124218946</v>
      </c>
      <c r="BW173" s="96">
        <f ca="1">ABS(1+(AW173*(1/(1+AN173/100/AP173*AG173)^2-1)))*BJ173*$AG173</f>
        <v>0.22147082250866074</v>
      </c>
      <c r="BX173" s="96">
        <f ca="1">ABS(-AG173+1/(1/AG173+AN173/100/AP173))*BV173*AW173</f>
        <v>0.19307262569832401</v>
      </c>
      <c r="BY173" s="96">
        <f ca="1">ABS(-AW173*AP173/((AP173/AG173+AN173/100)^2))*(BO173*AN173/100)</f>
        <v>1.2587022876938926E-2</v>
      </c>
      <c r="BZ173" s="202">
        <f ca="1">ABS(AW173*AN173/100/(1/AG173*AP173+AN173/100)^2)*(BR173*AP173)</f>
        <v>1.5104427452326709E-2</v>
      </c>
      <c r="CA173" s="103">
        <f t="shared" ca="1" si="117"/>
        <v>0.29447061125055418</v>
      </c>
      <c r="CB173" s="37">
        <f t="shared" ca="1" si="132"/>
        <v>0.27215801839379539</v>
      </c>
      <c r="CC173" s="37">
        <f t="shared" ca="1" si="133"/>
        <v>0.23726043286847862</v>
      </c>
      <c r="CD173" s="37">
        <f t="shared" ca="1" si="134"/>
        <v>1.546776755900252E-2</v>
      </c>
      <c r="CE173" s="37">
        <f t="shared" ca="1" si="135"/>
        <v>1.8561321070803022E-2</v>
      </c>
      <c r="CF173" s="13">
        <f t="shared" ca="1" si="136"/>
        <v>0.36186499478967021</v>
      </c>
      <c r="CG173" s="101">
        <f ca="1">AG173</f>
        <v>1.2</v>
      </c>
      <c r="CH173" s="101">
        <f>AW173</f>
        <v>0.40010000000000001</v>
      </c>
      <c r="CI173" s="203">
        <f>IF(CH173&gt;0,AN173,0)</f>
        <v>12</v>
      </c>
      <c r="CJ173" s="102">
        <f ca="1">IF(AND(CH173&gt;0,CI173&gt;0),AP173,0)</f>
        <v>3.5000000000000003E-2</v>
      </c>
      <c r="CK173" s="102">
        <f ca="1">BB173</f>
        <v>0.81375821229050282</v>
      </c>
      <c r="CL173" s="37">
        <f t="shared" ca="1" si="99"/>
        <v>0.3</v>
      </c>
      <c r="CM173" s="37">
        <f t="shared" ca="1" si="100"/>
        <v>0.49987503124218946</v>
      </c>
      <c r="CN173" s="37">
        <f t="shared" ca="1" si="101"/>
        <v>0.16666666666666666</v>
      </c>
      <c r="CO173" s="37">
        <f t="shared" ca="1" si="102"/>
        <v>0.2</v>
      </c>
      <c r="CP173" s="37">
        <f t="shared" ca="1" si="103"/>
        <v>0.36186499478967021</v>
      </c>
      <c r="CQ173" s="95">
        <f t="shared" ca="1" si="104"/>
        <v>0.36</v>
      </c>
      <c r="CR173" s="95">
        <f t="shared" ca="1" si="105"/>
        <v>0.2</v>
      </c>
      <c r="CS173" s="95">
        <f t="shared" ca="1" si="106"/>
        <v>2</v>
      </c>
      <c r="CT173" s="103">
        <f t="shared" ca="1" si="107"/>
        <v>7.000000000000001E-3</v>
      </c>
      <c r="CU173" s="95">
        <f t="shared" ca="1" si="108"/>
        <v>0.29447061125055413</v>
      </c>
      <c r="CV173" s="37">
        <f ca="1">$CB173^2/$CF173^2</f>
        <v>0.5656517322452348</v>
      </c>
      <c r="CW173" s="37">
        <f ca="1">$CD173^2/$CF173^2</f>
        <v>1.8270991997037945E-3</v>
      </c>
      <c r="CX173" s="37">
        <f ca="1">$CE173^2/$CF173^2</f>
        <v>2.6310228475734635E-3</v>
      </c>
      <c r="CY173" s="37">
        <f ca="1">$CC173^2/$CF173^2</f>
        <v>0.42989014570748824</v>
      </c>
      <c r="DA173" s="98" t="s">
        <v>214</v>
      </c>
      <c r="DB173" s="36">
        <f ca="1">OFFSET($A$1,ROW(DB173)-1,MATCH(DA173,$1:$1,0)-1)</f>
        <v>12</v>
      </c>
      <c r="DC173" s="9">
        <f ca="1">BB173</f>
        <v>0.81375821229050282</v>
      </c>
      <c r="DD173" s="9">
        <f ca="1">$DC173+$CA173</f>
        <v>1.1082288235410571</v>
      </c>
      <c r="DE173" s="9">
        <f ca="1">$DC173-$CA173</f>
        <v>0.51928760103994864</v>
      </c>
      <c r="DF173" s="10">
        <f t="shared" ca="1" si="87"/>
        <v>0.36186499478967032</v>
      </c>
    </row>
    <row r="174" spans="1:110" s="8" customFormat="1" ht="32.4" customHeight="1">
      <c r="A174" s="206" t="s">
        <v>610</v>
      </c>
      <c r="B174" s="208" t="s">
        <v>2344</v>
      </c>
      <c r="C174" s="206" t="str">
        <f t="shared" si="138"/>
        <v>Parameter-Variation: f_Insulation = 50%</v>
      </c>
      <c r="D174" s="206"/>
      <c r="E174" s="206" t="s">
        <v>201</v>
      </c>
      <c r="F174" s="206" t="str">
        <f t="shared" si="139"/>
        <v>50%</v>
      </c>
      <c r="G174" s="206" t="s">
        <v>2170</v>
      </c>
      <c r="H174" s="206" t="s">
        <v>2171</v>
      </c>
      <c r="I174" s="156" t="s">
        <v>80</v>
      </c>
      <c r="J174" s="156" t="s">
        <v>134</v>
      </c>
      <c r="K174" s="156" t="s">
        <v>155</v>
      </c>
      <c r="L174" s="156" t="s">
        <v>66</v>
      </c>
      <c r="M174" s="156" t="s">
        <v>188</v>
      </c>
      <c r="N174" s="7">
        <v>1960</v>
      </c>
      <c r="O174" s="156">
        <v>1</v>
      </c>
      <c r="P174" s="156">
        <v>0</v>
      </c>
      <c r="Q174" s="156" t="s">
        <v>435</v>
      </c>
      <c r="R174" s="156" t="s">
        <v>58</v>
      </c>
      <c r="S174" s="19">
        <v>12</v>
      </c>
      <c r="T174" s="19">
        <f t="shared" si="142"/>
        <v>0.50009999999999999</v>
      </c>
      <c r="U174" s="19">
        <v>2016</v>
      </c>
      <c r="V174" s="19" t="e">
        <v>#N/A</v>
      </c>
      <c r="W174" s="28" t="s">
        <v>59</v>
      </c>
      <c r="X174" s="19" t="e">
        <v>#N/A</v>
      </c>
      <c r="Y174" s="105">
        <f ca="1">IFERROR(OFFSET(Tab.Const.ConstrBorder!$A$1,MATCH(Q174,Tab.Const.ConstrBorder!$A:$A,0)-1,MATCH(Y$87,Tab.Const.ConstrBorder!$1:$1,0)-1),0)</f>
        <v>0</v>
      </c>
      <c r="Z174" s="18">
        <f t="shared" si="110"/>
        <v>1960</v>
      </c>
      <c r="AA174" s="17">
        <f>MATCH(Z174,Tab.Year.Period!$11:$11,1)-3</f>
        <v>5</v>
      </c>
      <c r="AB174" s="17">
        <f>MATCH(AB$88&amp;"."&amp;TEXT(AA174,"00"),Tab.U.Default!$A:$A,0)</f>
        <v>28</v>
      </c>
      <c r="AC174" s="105">
        <f ca="1">OFFSET(Tab.U.Default!$A$1,$AB174-1,MATCH("U_Class_"&amp;IF($J174="TopCeiling","UpperCeiling",$J174)&amp;"_"&amp;AC$87,Tab.U.Default!$1:$1,0)-1)</f>
        <v>1.2</v>
      </c>
      <c r="AD174" s="105">
        <f ca="1">OFFSET(Tab.U.Default!$A$1,$AB174-1,MATCH("U_Class_"&amp;IF($J174="TopCeiling","UpperCeiling",$J174)&amp;"_"&amp;AD$87,Tab.U.Default!$1:$1,0)-1)</f>
        <v>1.2</v>
      </c>
      <c r="AE174" s="105">
        <f ca="1">OFFSET(Tab.U.Default!$A$1,$AB174-1,MATCH("U_Class_"&amp;IF($J174="TopCeiling","UpperCeiling",$J174)&amp;"_"&amp;AE$87,Tab.U.Default!$1:$1,0)-1)</f>
        <v>0.8</v>
      </c>
      <c r="AF174" s="26">
        <f t="shared" ca="1" si="96"/>
        <v>1.2</v>
      </c>
      <c r="AG174" s="26">
        <f t="shared" ca="1" si="97"/>
        <v>1.2</v>
      </c>
      <c r="AH174" s="18" t="str">
        <f t="shared" si="124"/>
        <v>Refurbish</v>
      </c>
      <c r="AI174" s="18" t="str">
        <f t="shared" si="111"/>
        <v>Add</v>
      </c>
      <c r="AJ174" s="18">
        <f t="shared" si="98"/>
        <v>2016</v>
      </c>
      <c r="AK174" s="17">
        <f>MATCH(AJ174,Tab.Year.Period!$11:$11,1)-3</f>
        <v>12</v>
      </c>
      <c r="AL174" s="17">
        <f>MATCH(AL$88&amp;"."&amp;TEXT(AK174,"00"),Tab.Insulation.Default!$A:$A,0)</f>
        <v>23</v>
      </c>
      <c r="AM174" s="20" t="e">
        <f ca="1">IF(ISNA(IF(S174="",#N/A,S174)),OFFSET(Tab.Insulation.Default!$A$1,$AL174-1,MATCH(AM$87&amp;"_"&amp;$K174,Tab.Insulation.Default!$1:$1,0)-1),#N/A)</f>
        <v>#N/A</v>
      </c>
      <c r="AN174" s="27">
        <f t="shared" si="112"/>
        <v>12</v>
      </c>
      <c r="AO174" s="22">
        <f ca="1">IF(ISNA(IF(V174="",#N/A,V174)),OFFSET(Tab.Insulation.Default!$A$1,$AL174-1,MATCH(AO$87&amp;"_"&amp;$K174,Tab.Insulation.Default!$1:$1,0)-1),#N/A)</f>
        <v>3.5000000000000003E-2</v>
      </c>
      <c r="AP174" s="23">
        <f t="shared" ca="1" si="113"/>
        <v>3.5000000000000003E-2</v>
      </c>
      <c r="AQ174" s="29" t="str">
        <f t="shared" si="125"/>
        <v>Gen.Refurbished.12</v>
      </c>
      <c r="AR174" s="17">
        <f>MATCH(AR$88&amp;"."&amp;AQ174,Tab.Measure.f.Default!$A:$A,0)</f>
        <v>23</v>
      </c>
      <c r="AS174" s="21">
        <f ca="1">OFFSET(Tab.Measure.f.Default!$A$1,AR174-1,MATCH(AS$87&amp;"_"&amp;$J174,Tab.Measure.f.Default!$1:$1,0)-1)</f>
        <v>0.75</v>
      </c>
      <c r="AT174" s="29" t="str">
        <f t="shared" si="126"/>
        <v>MUH.NA.05</v>
      </c>
      <c r="AU174" s="17">
        <f>MATCH(AU$88&amp;"."&amp;AT174,Tab.Measure.f.Default!$A:$A,0)</f>
        <v>40</v>
      </c>
      <c r="AV174" s="21">
        <f ca="1">OFFSET(Tab.Measure.f.Default!$A$1,AU174-1,MATCH(AV$87&amp;"_"&amp;$J174,Tab.Measure.f.Default!$1:$1,0)-1)</f>
        <v>0.37</v>
      </c>
      <c r="AW174" s="30">
        <f t="shared" si="114"/>
        <v>0.50009999999999999</v>
      </c>
      <c r="AX174" s="9">
        <f t="shared" ca="1" si="127"/>
        <v>0.83333333333333337</v>
      </c>
      <c r="AY174" s="9">
        <f t="shared" ca="1" si="128"/>
        <v>3.4285714285714279</v>
      </c>
      <c r="AZ174" s="9">
        <f t="shared" ca="1" si="140"/>
        <v>4.261904761904761</v>
      </c>
      <c r="BA174" s="9">
        <f t="shared" ca="1" si="141"/>
        <v>0.23463687150837995</v>
      </c>
      <c r="BB174" s="9">
        <f t="shared" ca="1" si="129"/>
        <v>0.71722189944134074</v>
      </c>
      <c r="BC174" s="32" t="str">
        <f t="shared" si="130"/>
        <v>D</v>
      </c>
      <c r="BD174" s="20" t="str">
        <f ca="1">OFFSET(Tab.Uncertainty.Levels!$A$1,MATCH(BD$88,Tab.Uncertainty.Levels!$A:$A,0)-1,MATCH(BD$87&amp;"_"&amp;BC174,Tab.Uncertainty.Levels!$1:$1,0)-1)</f>
        <v>Use of default values; building constructed until 1983</v>
      </c>
      <c r="BE174" s="24">
        <f ca="1">OFFSET(Tab.Uncertainty.Levels!$A$1,MATCH(BE$88,Tab.Uncertainty.Levels!$A:$A,0)-1,MATCH(BE$87&amp;"_"&amp;BC174,Tab.Uncertainty.Levels!$1:$1,0)-1)</f>
        <v>0.3</v>
      </c>
      <c r="BF174" s="32" t="str">
        <f t="shared" si="131"/>
        <v>-</v>
      </c>
      <c r="BG174" s="20" t="e">
        <f ca="1">OFFSET(Tab.Uncertainty.Levels!$A$1,MATCH(BG$88,Tab.Uncertainty.Levels!$A:$A,0)-1,MATCH(BG$87&amp;"_"&amp;BF174,Tab.Uncertainty.Levels!$1:$1,0)-1)</f>
        <v>#N/A</v>
      </c>
      <c r="BH174" s="24" t="e">
        <f ca="1">OFFSET(Tab.Uncertainty.Levels!$A$1,MATCH(BH$88,Tab.Uncertainty.Levels!$A:$A,0)-1,MATCH(BH$87&amp;"_"&amp;BF174,Tab.Uncertainty.Levels!$1:$1,0)-1)</f>
        <v>#N/A</v>
      </c>
      <c r="BI174" s="32" t="str">
        <f t="shared" si="137"/>
        <v>D</v>
      </c>
      <c r="BJ174" s="13">
        <f ca="1">IF(BF174="-",BE174,BH174)</f>
        <v>0.3</v>
      </c>
      <c r="BK174" s="32" t="str">
        <f>IF(OR($L174="NoDataSource",IFERROR(IF($S174="",#N/A,$S174),0)=0),IF(IFERROR(IF(U174="",#N/A,U174),0)=0,"E","D"),IF($L174="DesignDataPlusQA","A",IF($L174="DesignData","B","C")))</f>
        <v>C</v>
      </c>
      <c r="BL174" s="20" t="str">
        <f ca="1">OFFSET(Tab.Uncertainty.Levels!$A$1,MATCH(BL$88,Tab.Uncertainty.Levels!$A:$A,0)-1,MATCH(BL$87&amp;"_"&amp;BK174,Tab.Uncertainty.Levels!$1:$1,0)-1)</f>
        <v>Insulation thickness determined by inspection onsite / record or statement of owner</v>
      </c>
      <c r="BM174" s="24">
        <f ca="1">OFFSET(Tab.Uncertainty.Levels!$A$1,MATCH(BM$88,Tab.Uncertainty.Levels!$A:$A,0)-1,MATCH(BM$87&amp;"_"&amp;BK174,Tab.Uncertainty.Levels!$1:$1,0)-1)</f>
        <v>0.25</v>
      </c>
      <c r="BN174" s="34">
        <f ca="1">OFFSET(Tab.Uncertainty.Levels!$A$1,MATCH(BN$88,Tab.Uncertainty.Levels!$A:$A,0)-1,MATCH(BN$87&amp;"_"&amp;BK174,Tab.Uncertainty.Levels!$1:$1,0)-1)</f>
        <v>2</v>
      </c>
      <c r="BO174" s="13">
        <f ca="1">IFERROR(MIN(BM174,BN174/AN174),0)</f>
        <v>0.16666666666666666</v>
      </c>
      <c r="BP174" s="32" t="str">
        <f>IF(OR($L174="NoDataSource",IFERROR(IF($V174="",#N/A,$V174),0)=0),IF(IFERROR(IF(U174="",#N/A,U174),0)=0,"E","D"),IF($L174="DesignDataPlusQA","A",IF($L174="DesignData","B","C")))</f>
        <v>D</v>
      </c>
      <c r="BQ174" s="20" t="str">
        <f ca="1">OFFSET(Tab.Uncertainty.Levels!$A$1,MATCH(BQ$88,Tab.Uncertainty.Levels!$A:$A,0)-1,MATCH(BQ$87&amp;"_"&amp;BP174,Tab.Uncertainty.Levels!$1:$1,0)-1)</f>
        <v>Insulation available; no information about material</v>
      </c>
      <c r="BR174" s="97">
        <f ca="1">OFFSET(Tab.Uncertainty.Levels!$A$1,MATCH(BR$88,Tab.Uncertainty.Levels!$A:$A,0)-1,MATCH(BR$87&amp;"_"&amp;BP174,Tab.Uncertainty.Levels!$1:$1,0)-1)</f>
        <v>0.2</v>
      </c>
      <c r="BS174" s="32" t="str">
        <f>IF(L174="NoDataSource","D",IF(IFERROR(IF($T174="",#N/A,$T174),0)=0,IF(OR(IFERROR(IF($S174="",#N/A,$S174),0)&gt;0,$R174="Refurbish"),"D","E"),IF($L174="DesignDataPlusQA","A",IF($L174="DesignData","B","C"))))</f>
        <v>C</v>
      </c>
      <c r="BT174" s="20" t="str">
        <f ca="1">OFFSET(Tab.Uncertainty.Levels!$A$1,MATCH(BT$88,Tab.Uncertainty.Levels!$A:$A,0)-1,MATCH(BT$87&amp;"_"&amp;BS174,Tab.Uncertainty.Levels!$1:$1,0)-1)</f>
        <v>Insulation fraction determined by inspection onsite / record or statement of owner</v>
      </c>
      <c r="BU174" s="33">
        <f ca="1">OFFSET(Tab.Uncertainty.Levels!$A$1,MATCH(BU$88,Tab.Uncertainty.Levels!$A:$A,0)-1,MATCH(BU$87&amp;"_"&amp;BS174,Tab.Uncertainty.Levels!$1:$1,0)-1)</f>
        <v>0.2</v>
      </c>
      <c r="BV174" s="13">
        <f ca="1">IFERROR(MIN(BU174/AW174,1,(1-AW174)/AW174),0)</f>
        <v>0.39992001599680066</v>
      </c>
      <c r="BW174" s="96">
        <f ca="1">ABS(1+(AW174*(1/(1+AN174/100/AP174*AG174)^2-1)))*BJ174*$AG174</f>
        <v>0.18684718404544176</v>
      </c>
      <c r="BX174" s="96">
        <f ca="1">ABS(-AG174+1/(1/AG174+AN174/100/AP174))*BV174*AW174</f>
        <v>0.19307262569832401</v>
      </c>
      <c r="BY174" s="96">
        <f ca="1">ABS(-AW174*AP174/((AP174/AG174+AN174/100)^2))*(BO174*AN174/100)</f>
        <v>1.5732992103866923E-2</v>
      </c>
      <c r="BZ174" s="202">
        <f ca="1">ABS(AW174*AN174/100/(1/AG174*AP174+AN174/100)^2)*(BR174*AP174)</f>
        <v>1.8879590524640309E-2</v>
      </c>
      <c r="CA174" s="103">
        <f t="shared" ca="1" si="117"/>
        <v>0.26980154736152778</v>
      </c>
      <c r="CB174" s="37">
        <f t="shared" ca="1" si="132"/>
        <v>0.26051516858447987</v>
      </c>
      <c r="CC174" s="37">
        <f t="shared" ca="1" si="133"/>
        <v>0.2691951066311728</v>
      </c>
      <c r="CD174" s="37">
        <f t="shared" ca="1" si="134"/>
        <v>2.1936017453066732E-2</v>
      </c>
      <c r="CE174" s="37">
        <f t="shared" ca="1" si="135"/>
        <v>2.632322094368008E-2</v>
      </c>
      <c r="CF174" s="13">
        <f t="shared" ca="1" si="136"/>
        <v>0.37617583563982349</v>
      </c>
      <c r="CG174" s="101">
        <f ca="1">AG174</f>
        <v>1.2</v>
      </c>
      <c r="CH174" s="101">
        <f>AW174</f>
        <v>0.50009999999999999</v>
      </c>
      <c r="CI174" s="203">
        <f>IF(CH174&gt;0,AN174,0)</f>
        <v>12</v>
      </c>
      <c r="CJ174" s="102">
        <f ca="1">IF(AND(CH174&gt;0,CI174&gt;0),AP174,0)</f>
        <v>3.5000000000000003E-2</v>
      </c>
      <c r="CK174" s="102">
        <f ca="1">BB174</f>
        <v>0.71722189944134074</v>
      </c>
      <c r="CL174" s="37">
        <f t="shared" ca="1" si="99"/>
        <v>0.3</v>
      </c>
      <c r="CM174" s="37">
        <f t="shared" ca="1" si="100"/>
        <v>0.39992001599680066</v>
      </c>
      <c r="CN174" s="37">
        <f t="shared" ca="1" si="101"/>
        <v>0.16666666666666666</v>
      </c>
      <c r="CO174" s="37">
        <f t="shared" ca="1" si="102"/>
        <v>0.2</v>
      </c>
      <c r="CP174" s="37">
        <f t="shared" ca="1" si="103"/>
        <v>0.37617583563982349</v>
      </c>
      <c r="CQ174" s="95">
        <f t="shared" ca="1" si="104"/>
        <v>0.36</v>
      </c>
      <c r="CR174" s="95">
        <f t="shared" ca="1" si="105"/>
        <v>0.2</v>
      </c>
      <c r="CS174" s="95">
        <f t="shared" ca="1" si="106"/>
        <v>2</v>
      </c>
      <c r="CT174" s="103">
        <f t="shared" ca="1" si="107"/>
        <v>7.000000000000001E-3</v>
      </c>
      <c r="CU174" s="95">
        <f t="shared" ca="1" si="108"/>
        <v>0.26980154736152778</v>
      </c>
      <c r="CV174" s="37">
        <f ca="1">$CB174^2/$CF174^2</f>
        <v>0.47960559609070275</v>
      </c>
      <c r="CW174" s="37">
        <f ca="1">$CD174^2/$CF174^2</f>
        <v>3.4004295156752997E-3</v>
      </c>
      <c r="CX174" s="37">
        <f ca="1">$CE174^2/$CF174^2</f>
        <v>4.8966185025724317E-3</v>
      </c>
      <c r="CY174" s="37">
        <f ca="1">$CC174^2/$CF174^2</f>
        <v>0.51209735589104965</v>
      </c>
      <c r="DA174" s="98" t="s">
        <v>214</v>
      </c>
      <c r="DB174" s="36">
        <f ca="1">OFFSET($A$1,ROW(DB174)-1,MATCH(DA174,$1:$1,0)-1)</f>
        <v>12</v>
      </c>
      <c r="DC174" s="9">
        <f ca="1">BB174</f>
        <v>0.71722189944134074</v>
      </c>
      <c r="DD174" s="9">
        <f ca="1">$DC174+$CA174</f>
        <v>0.98702344680286846</v>
      </c>
      <c r="DE174" s="9">
        <f ca="1">$DC174-$CA174</f>
        <v>0.44742035207981296</v>
      </c>
      <c r="DF174" s="10">
        <f t="shared" ca="1" si="87"/>
        <v>0.37617583563982337</v>
      </c>
    </row>
    <row r="175" spans="1:110" s="8" customFormat="1" ht="32.4" customHeight="1">
      <c r="A175" s="206" t="s">
        <v>611</v>
      </c>
      <c r="B175" s="208" t="s">
        <v>2344</v>
      </c>
      <c r="C175" s="206" t="str">
        <f t="shared" si="138"/>
        <v>Parameter-Variation: f_Insulation = 60%</v>
      </c>
      <c r="D175" s="206"/>
      <c r="E175" s="206" t="s">
        <v>201</v>
      </c>
      <c r="F175" s="206" t="str">
        <f t="shared" si="139"/>
        <v>60%</v>
      </c>
      <c r="G175" s="206" t="s">
        <v>2170</v>
      </c>
      <c r="H175" s="206" t="s">
        <v>2171</v>
      </c>
      <c r="I175" s="156" t="s">
        <v>80</v>
      </c>
      <c r="J175" s="156" t="s">
        <v>134</v>
      </c>
      <c r="K175" s="156" t="s">
        <v>155</v>
      </c>
      <c r="L175" s="156" t="s">
        <v>66</v>
      </c>
      <c r="M175" s="156" t="s">
        <v>188</v>
      </c>
      <c r="N175" s="7">
        <v>1960</v>
      </c>
      <c r="O175" s="156">
        <v>1</v>
      </c>
      <c r="P175" s="156">
        <v>0</v>
      </c>
      <c r="Q175" s="156" t="s">
        <v>435</v>
      </c>
      <c r="R175" s="156" t="s">
        <v>58</v>
      </c>
      <c r="S175" s="19">
        <v>12</v>
      </c>
      <c r="T175" s="19">
        <f t="shared" si="142"/>
        <v>0.60009999999999997</v>
      </c>
      <c r="U175" s="19">
        <v>2016</v>
      </c>
      <c r="V175" s="19" t="e">
        <v>#N/A</v>
      </c>
      <c r="W175" s="28" t="s">
        <v>59</v>
      </c>
      <c r="X175" s="19" t="e">
        <v>#N/A</v>
      </c>
      <c r="Y175" s="105">
        <f ca="1">IFERROR(OFFSET(Tab.Const.ConstrBorder!$A$1,MATCH(Q175,Tab.Const.ConstrBorder!$A:$A,0)-1,MATCH(Y$87,Tab.Const.ConstrBorder!$1:$1,0)-1),0)</f>
        <v>0</v>
      </c>
      <c r="Z175" s="18">
        <f t="shared" si="110"/>
        <v>1960</v>
      </c>
      <c r="AA175" s="17">
        <f>MATCH(Z175,Tab.Year.Period!$11:$11,1)-3</f>
        <v>5</v>
      </c>
      <c r="AB175" s="17">
        <f>MATCH(AB$88&amp;"."&amp;TEXT(AA175,"00"),Tab.U.Default!$A:$A,0)</f>
        <v>28</v>
      </c>
      <c r="AC175" s="105">
        <f ca="1">OFFSET(Tab.U.Default!$A$1,$AB175-1,MATCH("U_Class_"&amp;IF($J175="TopCeiling","UpperCeiling",$J175)&amp;"_"&amp;AC$87,Tab.U.Default!$1:$1,0)-1)</f>
        <v>1.2</v>
      </c>
      <c r="AD175" s="105">
        <f ca="1">OFFSET(Tab.U.Default!$A$1,$AB175-1,MATCH("U_Class_"&amp;IF($J175="TopCeiling","UpperCeiling",$J175)&amp;"_"&amp;AD$87,Tab.U.Default!$1:$1,0)-1)</f>
        <v>1.2</v>
      </c>
      <c r="AE175" s="105">
        <f ca="1">OFFSET(Tab.U.Default!$A$1,$AB175-1,MATCH("U_Class_"&amp;IF($J175="TopCeiling","UpperCeiling",$J175)&amp;"_"&amp;AE$87,Tab.U.Default!$1:$1,0)-1)</f>
        <v>0.8</v>
      </c>
      <c r="AF175" s="26">
        <f t="shared" ca="1" si="96"/>
        <v>1.2</v>
      </c>
      <c r="AG175" s="26">
        <f t="shared" ca="1" si="97"/>
        <v>1.2</v>
      </c>
      <c r="AH175" s="18" t="str">
        <f t="shared" si="124"/>
        <v>Refurbish</v>
      </c>
      <c r="AI175" s="18" t="str">
        <f t="shared" si="111"/>
        <v>Add</v>
      </c>
      <c r="AJ175" s="18">
        <f t="shared" si="98"/>
        <v>2016</v>
      </c>
      <c r="AK175" s="17">
        <f>MATCH(AJ175,Tab.Year.Period!$11:$11,1)-3</f>
        <v>12</v>
      </c>
      <c r="AL175" s="17">
        <f>MATCH(AL$88&amp;"."&amp;TEXT(AK175,"00"),Tab.Insulation.Default!$A:$A,0)</f>
        <v>23</v>
      </c>
      <c r="AM175" s="20" t="e">
        <f ca="1">IF(ISNA(IF(S175="",#N/A,S175)),OFFSET(Tab.Insulation.Default!$A$1,$AL175-1,MATCH(AM$87&amp;"_"&amp;$K175,Tab.Insulation.Default!$1:$1,0)-1),#N/A)</f>
        <v>#N/A</v>
      </c>
      <c r="AN175" s="27">
        <f t="shared" si="112"/>
        <v>12</v>
      </c>
      <c r="AO175" s="22">
        <f ca="1">IF(ISNA(IF(V175="",#N/A,V175)),OFFSET(Tab.Insulation.Default!$A$1,$AL175-1,MATCH(AO$87&amp;"_"&amp;$K175,Tab.Insulation.Default!$1:$1,0)-1),#N/A)</f>
        <v>3.5000000000000003E-2</v>
      </c>
      <c r="AP175" s="23">
        <f t="shared" ca="1" si="113"/>
        <v>3.5000000000000003E-2</v>
      </c>
      <c r="AQ175" s="29" t="str">
        <f t="shared" si="125"/>
        <v>Gen.Refurbished.12</v>
      </c>
      <c r="AR175" s="17">
        <f>MATCH(AR$88&amp;"."&amp;AQ175,Tab.Measure.f.Default!$A:$A,0)</f>
        <v>23</v>
      </c>
      <c r="AS175" s="21">
        <f ca="1">OFFSET(Tab.Measure.f.Default!$A$1,AR175-1,MATCH(AS$87&amp;"_"&amp;$J175,Tab.Measure.f.Default!$1:$1,0)-1)</f>
        <v>0.75</v>
      </c>
      <c r="AT175" s="29" t="str">
        <f t="shared" si="126"/>
        <v>MUH.NA.05</v>
      </c>
      <c r="AU175" s="17">
        <f>MATCH(AU$88&amp;"."&amp;AT175,Tab.Measure.f.Default!$A:$A,0)</f>
        <v>40</v>
      </c>
      <c r="AV175" s="21">
        <f ca="1">OFFSET(Tab.Measure.f.Default!$A$1,AU175-1,MATCH(AV$87&amp;"_"&amp;$J175,Tab.Measure.f.Default!$1:$1,0)-1)</f>
        <v>0.37</v>
      </c>
      <c r="AW175" s="30">
        <f t="shared" si="114"/>
        <v>0.60009999999999997</v>
      </c>
      <c r="AX175" s="9">
        <f t="shared" ca="1" si="127"/>
        <v>0.83333333333333337</v>
      </c>
      <c r="AY175" s="9">
        <f t="shared" ca="1" si="128"/>
        <v>3.4285714285714279</v>
      </c>
      <c r="AZ175" s="9">
        <f t="shared" ca="1" si="140"/>
        <v>4.261904761904761</v>
      </c>
      <c r="BA175" s="9">
        <f t="shared" ca="1" si="141"/>
        <v>0.23463687150837995</v>
      </c>
      <c r="BB175" s="9">
        <f t="shared" ca="1" si="129"/>
        <v>0.62068558659217876</v>
      </c>
      <c r="BC175" s="32" t="str">
        <f t="shared" si="130"/>
        <v>D</v>
      </c>
      <c r="BD175" s="20" t="str">
        <f ca="1">OFFSET(Tab.Uncertainty.Levels!$A$1,MATCH(BD$88,Tab.Uncertainty.Levels!$A:$A,0)-1,MATCH(BD$87&amp;"_"&amp;BC175,Tab.Uncertainty.Levels!$1:$1,0)-1)</f>
        <v>Use of default values; building constructed until 1983</v>
      </c>
      <c r="BE175" s="24">
        <f ca="1">OFFSET(Tab.Uncertainty.Levels!$A$1,MATCH(BE$88,Tab.Uncertainty.Levels!$A:$A,0)-1,MATCH(BE$87&amp;"_"&amp;BC175,Tab.Uncertainty.Levels!$1:$1,0)-1)</f>
        <v>0.3</v>
      </c>
      <c r="BF175" s="32" t="str">
        <f t="shared" si="131"/>
        <v>-</v>
      </c>
      <c r="BG175" s="20" t="e">
        <f ca="1">OFFSET(Tab.Uncertainty.Levels!$A$1,MATCH(BG$88,Tab.Uncertainty.Levels!$A:$A,0)-1,MATCH(BG$87&amp;"_"&amp;BF175,Tab.Uncertainty.Levels!$1:$1,0)-1)</f>
        <v>#N/A</v>
      </c>
      <c r="BH175" s="24" t="e">
        <f ca="1">OFFSET(Tab.Uncertainty.Levels!$A$1,MATCH(BH$88,Tab.Uncertainty.Levels!$A:$A,0)-1,MATCH(BH$87&amp;"_"&amp;BF175,Tab.Uncertainty.Levels!$1:$1,0)-1)</f>
        <v>#N/A</v>
      </c>
      <c r="BI175" s="32" t="str">
        <f t="shared" si="137"/>
        <v>D</v>
      </c>
      <c r="BJ175" s="13">
        <f ca="1">IF(BF175="-",BE175,BH175)</f>
        <v>0.3</v>
      </c>
      <c r="BK175" s="32" t="str">
        <f>IF(OR($L175="NoDataSource",IFERROR(IF($S175="",#N/A,$S175),0)=0),IF(IFERROR(IF(U175="",#N/A,U175),0)=0,"E","D"),IF($L175="DesignDataPlusQA","A",IF($L175="DesignData","B","C")))</f>
        <v>C</v>
      </c>
      <c r="BL175" s="20" t="str">
        <f ca="1">OFFSET(Tab.Uncertainty.Levels!$A$1,MATCH(BL$88,Tab.Uncertainty.Levels!$A:$A,0)-1,MATCH(BL$87&amp;"_"&amp;BK175,Tab.Uncertainty.Levels!$1:$1,0)-1)</f>
        <v>Insulation thickness determined by inspection onsite / record or statement of owner</v>
      </c>
      <c r="BM175" s="24">
        <f ca="1">OFFSET(Tab.Uncertainty.Levels!$A$1,MATCH(BM$88,Tab.Uncertainty.Levels!$A:$A,0)-1,MATCH(BM$87&amp;"_"&amp;BK175,Tab.Uncertainty.Levels!$1:$1,0)-1)</f>
        <v>0.25</v>
      </c>
      <c r="BN175" s="34">
        <f ca="1">OFFSET(Tab.Uncertainty.Levels!$A$1,MATCH(BN$88,Tab.Uncertainty.Levels!$A:$A,0)-1,MATCH(BN$87&amp;"_"&amp;BK175,Tab.Uncertainty.Levels!$1:$1,0)-1)</f>
        <v>2</v>
      </c>
      <c r="BO175" s="13">
        <f ca="1">IFERROR(MIN(BM175,BN175/AN175),0)</f>
        <v>0.16666666666666666</v>
      </c>
      <c r="BP175" s="32" t="str">
        <f>IF(OR($L175="NoDataSource",IFERROR(IF($V175="",#N/A,$V175),0)=0),IF(IFERROR(IF(U175="",#N/A,U175),0)=0,"E","D"),IF($L175="DesignDataPlusQA","A",IF($L175="DesignData","B","C")))</f>
        <v>D</v>
      </c>
      <c r="BQ175" s="20" t="str">
        <f ca="1">OFFSET(Tab.Uncertainty.Levels!$A$1,MATCH(BQ$88,Tab.Uncertainty.Levels!$A:$A,0)-1,MATCH(BQ$87&amp;"_"&amp;BP175,Tab.Uncertainty.Levels!$1:$1,0)-1)</f>
        <v>Insulation available; no information about material</v>
      </c>
      <c r="BR175" s="97">
        <f ca="1">OFFSET(Tab.Uncertainty.Levels!$A$1,MATCH(BR$88,Tab.Uncertainty.Levels!$A:$A,0)-1,MATCH(BR$87&amp;"_"&amp;BP175,Tab.Uncertainty.Levels!$1:$1,0)-1)</f>
        <v>0.2</v>
      </c>
      <c r="BS175" s="32" t="str">
        <f>IF(L175="NoDataSource","D",IF(IFERROR(IF($T175="",#N/A,$T175),0)=0,IF(OR(IFERROR(IF($S175="",#N/A,$S175),0)&gt;0,$R175="Refurbish"),"D","E"),IF($L175="DesignDataPlusQA","A",IF($L175="DesignData","B","C"))))</f>
        <v>C</v>
      </c>
      <c r="BT175" s="20" t="str">
        <f ca="1">OFFSET(Tab.Uncertainty.Levels!$A$1,MATCH(BT$88,Tab.Uncertainty.Levels!$A:$A,0)-1,MATCH(BT$87&amp;"_"&amp;BS175,Tab.Uncertainty.Levels!$1:$1,0)-1)</f>
        <v>Insulation fraction determined by inspection onsite / record or statement of owner</v>
      </c>
      <c r="BU175" s="33">
        <f ca="1">OFFSET(Tab.Uncertainty.Levels!$A$1,MATCH(BU$88,Tab.Uncertainty.Levels!$A:$A,0)-1,MATCH(BU$87&amp;"_"&amp;BS175,Tab.Uncertainty.Levels!$1:$1,0)-1)</f>
        <v>0.2</v>
      </c>
      <c r="BV175" s="13">
        <f ca="1">IFERROR(MIN(BU175/AW175,1,(1-AW175)/AW175),0)</f>
        <v>0.3332777870354941</v>
      </c>
      <c r="BW175" s="96">
        <f ca="1">ABS(1+(AW175*(1/(1+AN175/100/AP175*AG175)^2-1)))*BJ175*$AG175</f>
        <v>0.15222354558222281</v>
      </c>
      <c r="BX175" s="96">
        <f ca="1">ABS(-AG175+1/(1/AG175+AN175/100/AP175))*BV175*AW175</f>
        <v>0.19307262569832398</v>
      </c>
      <c r="BY175" s="96">
        <f ca="1">ABS(-AW175*AP175/((AP175/AG175+AN175/100)^2))*(BO175*AN175/100)</f>
        <v>1.8878961330794922E-2</v>
      </c>
      <c r="BZ175" s="202">
        <f ca="1">ABS(AW175*AN175/100/(1/AG175*AP175+AN175/100)^2)*(BR175*AP175)</f>
        <v>2.265475359695391E-2</v>
      </c>
      <c r="CA175" s="103">
        <f t="shared" ca="1" si="117"/>
        <v>0.24762612880133739</v>
      </c>
      <c r="CB175" s="37">
        <f t="shared" ca="1" si="132"/>
        <v>0.24525065326229534</v>
      </c>
      <c r="CC175" s="37">
        <f t="shared" ca="1" si="133"/>
        <v>0.31106349151487916</v>
      </c>
      <c r="CD175" s="37">
        <f t="shared" ca="1" si="134"/>
        <v>3.0416303743169306E-2</v>
      </c>
      <c r="CE175" s="37">
        <f t="shared" ca="1" si="135"/>
        <v>3.6499564491803173E-2</v>
      </c>
      <c r="CF175" s="13">
        <f t="shared" ca="1" si="136"/>
        <v>0.39895582264268048</v>
      </c>
      <c r="CG175" s="101">
        <f ca="1">AG175</f>
        <v>1.2</v>
      </c>
      <c r="CH175" s="101">
        <f>AW175</f>
        <v>0.60009999999999997</v>
      </c>
      <c r="CI175" s="203">
        <f>IF(CH175&gt;0,AN175,0)</f>
        <v>12</v>
      </c>
      <c r="CJ175" s="102">
        <f ca="1">IF(AND(CH175&gt;0,CI175&gt;0),AP175,0)</f>
        <v>3.5000000000000003E-2</v>
      </c>
      <c r="CK175" s="102">
        <f ca="1">BB175</f>
        <v>0.62068558659217876</v>
      </c>
      <c r="CL175" s="37">
        <f t="shared" ca="1" si="99"/>
        <v>0.3</v>
      </c>
      <c r="CM175" s="37">
        <f t="shared" ca="1" si="100"/>
        <v>0.3332777870354941</v>
      </c>
      <c r="CN175" s="37">
        <f t="shared" ca="1" si="101"/>
        <v>0.16666666666666666</v>
      </c>
      <c r="CO175" s="37">
        <f t="shared" ca="1" si="102"/>
        <v>0.2</v>
      </c>
      <c r="CP175" s="37">
        <f t="shared" ca="1" si="103"/>
        <v>0.39895582264268048</v>
      </c>
      <c r="CQ175" s="95">
        <f t="shared" ca="1" si="104"/>
        <v>0.36</v>
      </c>
      <c r="CR175" s="95">
        <f t="shared" ca="1" si="105"/>
        <v>0.2</v>
      </c>
      <c r="CS175" s="95">
        <f t="shared" ca="1" si="106"/>
        <v>2</v>
      </c>
      <c r="CT175" s="103">
        <f t="shared" ca="1" si="107"/>
        <v>7.000000000000001E-3</v>
      </c>
      <c r="CU175" s="95">
        <f t="shared" ca="1" si="108"/>
        <v>0.24762612880133736</v>
      </c>
      <c r="CV175" s="37">
        <f ca="1">$CB175^2/$CF175^2</f>
        <v>0.37789463827782038</v>
      </c>
      <c r="CW175" s="37">
        <f ca="1">$CD175^2/$CF175^2</f>
        <v>5.8125038997246404E-3</v>
      </c>
      <c r="CX175" s="37">
        <f ca="1">$CE175^2/$CF175^2</f>
        <v>8.3700056156034847E-3</v>
      </c>
      <c r="CY175" s="37">
        <f ca="1">$CC175^2/$CF175^2</f>
        <v>0.60792285220685183</v>
      </c>
      <c r="DA175" s="98" t="s">
        <v>214</v>
      </c>
      <c r="DB175" s="36">
        <f ca="1">OFFSET($A$1,ROW(DB175)-1,MATCH(DA175,$1:$1,0)-1)</f>
        <v>12</v>
      </c>
      <c r="DC175" s="9">
        <f ca="1">BB175</f>
        <v>0.62068558659217876</v>
      </c>
      <c r="DD175" s="9">
        <f ca="1">$DC175+$CA175</f>
        <v>0.86831171539351615</v>
      </c>
      <c r="DE175" s="9">
        <f ca="1">$DC175-$CA175</f>
        <v>0.37305945779084138</v>
      </c>
      <c r="DF175" s="10">
        <f t="shared" ca="1" si="87"/>
        <v>0.39895582264268054</v>
      </c>
    </row>
    <row r="176" spans="1:110" s="8" customFormat="1" ht="32.4" customHeight="1">
      <c r="A176" s="206" t="s">
        <v>612</v>
      </c>
      <c r="B176" s="208" t="s">
        <v>2344</v>
      </c>
      <c r="C176" s="206" t="str">
        <f t="shared" si="138"/>
        <v>Parameter-Variation: f_Insulation = 70%</v>
      </c>
      <c r="D176" s="206"/>
      <c r="E176" s="206" t="s">
        <v>201</v>
      </c>
      <c r="F176" s="206" t="str">
        <f t="shared" si="139"/>
        <v>70%</v>
      </c>
      <c r="G176" s="206" t="s">
        <v>2170</v>
      </c>
      <c r="H176" s="206" t="s">
        <v>2171</v>
      </c>
      <c r="I176" s="156" t="s">
        <v>80</v>
      </c>
      <c r="J176" s="156" t="s">
        <v>134</v>
      </c>
      <c r="K176" s="156" t="s">
        <v>155</v>
      </c>
      <c r="L176" s="156" t="s">
        <v>66</v>
      </c>
      <c r="M176" s="156" t="s">
        <v>188</v>
      </c>
      <c r="N176" s="7">
        <v>1960</v>
      </c>
      <c r="O176" s="156">
        <v>1</v>
      </c>
      <c r="P176" s="156">
        <v>0</v>
      </c>
      <c r="Q176" s="156" t="s">
        <v>435</v>
      </c>
      <c r="R176" s="156" t="s">
        <v>58</v>
      </c>
      <c r="S176" s="19">
        <v>12</v>
      </c>
      <c r="T176" s="19">
        <f t="shared" si="142"/>
        <v>0.70009999999999994</v>
      </c>
      <c r="U176" s="19">
        <v>2016</v>
      </c>
      <c r="V176" s="19" t="e">
        <v>#N/A</v>
      </c>
      <c r="W176" s="28" t="s">
        <v>59</v>
      </c>
      <c r="X176" s="19" t="e">
        <v>#N/A</v>
      </c>
      <c r="Y176" s="105">
        <f ca="1">IFERROR(OFFSET(Tab.Const.ConstrBorder!$A$1,MATCH(Q176,Tab.Const.ConstrBorder!$A:$A,0)-1,MATCH(Y$87,Tab.Const.ConstrBorder!$1:$1,0)-1),0)</f>
        <v>0</v>
      </c>
      <c r="Z176" s="18">
        <f t="shared" si="110"/>
        <v>1960</v>
      </c>
      <c r="AA176" s="17">
        <f>MATCH(Z176,Tab.Year.Period!$11:$11,1)-3</f>
        <v>5</v>
      </c>
      <c r="AB176" s="17">
        <f>MATCH(AB$88&amp;"."&amp;TEXT(AA176,"00"),Tab.U.Default!$A:$A,0)</f>
        <v>28</v>
      </c>
      <c r="AC176" s="105">
        <f ca="1">OFFSET(Tab.U.Default!$A$1,$AB176-1,MATCH("U_Class_"&amp;IF($J176="TopCeiling","UpperCeiling",$J176)&amp;"_"&amp;AC$87,Tab.U.Default!$1:$1,0)-1)</f>
        <v>1.2</v>
      </c>
      <c r="AD176" s="105">
        <f ca="1">OFFSET(Tab.U.Default!$A$1,$AB176-1,MATCH("U_Class_"&amp;IF($J176="TopCeiling","UpperCeiling",$J176)&amp;"_"&amp;AD$87,Tab.U.Default!$1:$1,0)-1)</f>
        <v>1.2</v>
      </c>
      <c r="AE176" s="105">
        <f ca="1">OFFSET(Tab.U.Default!$A$1,$AB176-1,MATCH("U_Class_"&amp;IF($J176="TopCeiling","UpperCeiling",$J176)&amp;"_"&amp;AE$87,Tab.U.Default!$1:$1,0)-1)</f>
        <v>0.8</v>
      </c>
      <c r="AF176" s="26">
        <f t="shared" ca="1" si="96"/>
        <v>1.2</v>
      </c>
      <c r="AG176" s="26">
        <f t="shared" ca="1" si="97"/>
        <v>1.2</v>
      </c>
      <c r="AH176" s="18" t="str">
        <f t="shared" si="124"/>
        <v>Refurbish</v>
      </c>
      <c r="AI176" s="18" t="str">
        <f t="shared" si="111"/>
        <v>Add</v>
      </c>
      <c r="AJ176" s="18">
        <f t="shared" si="98"/>
        <v>2016</v>
      </c>
      <c r="AK176" s="17">
        <f>MATCH(AJ176,Tab.Year.Period!$11:$11,1)-3</f>
        <v>12</v>
      </c>
      <c r="AL176" s="17">
        <f>MATCH(AL$88&amp;"."&amp;TEXT(AK176,"00"),Tab.Insulation.Default!$A:$A,0)</f>
        <v>23</v>
      </c>
      <c r="AM176" s="20" t="e">
        <f ca="1">IF(ISNA(IF(S176="",#N/A,S176)),OFFSET(Tab.Insulation.Default!$A$1,$AL176-1,MATCH(AM$87&amp;"_"&amp;$K176,Tab.Insulation.Default!$1:$1,0)-1),#N/A)</f>
        <v>#N/A</v>
      </c>
      <c r="AN176" s="27">
        <f t="shared" si="112"/>
        <v>12</v>
      </c>
      <c r="AO176" s="22">
        <f ca="1">IF(ISNA(IF(V176="",#N/A,V176)),OFFSET(Tab.Insulation.Default!$A$1,$AL176-1,MATCH(AO$87&amp;"_"&amp;$K176,Tab.Insulation.Default!$1:$1,0)-1),#N/A)</f>
        <v>3.5000000000000003E-2</v>
      </c>
      <c r="AP176" s="23">
        <f t="shared" ca="1" si="113"/>
        <v>3.5000000000000003E-2</v>
      </c>
      <c r="AQ176" s="29" t="str">
        <f t="shared" si="125"/>
        <v>Gen.Refurbished.12</v>
      </c>
      <c r="AR176" s="17">
        <f>MATCH(AR$88&amp;"."&amp;AQ176,Tab.Measure.f.Default!$A:$A,0)</f>
        <v>23</v>
      </c>
      <c r="AS176" s="21">
        <f ca="1">OFFSET(Tab.Measure.f.Default!$A$1,AR176-1,MATCH(AS$87&amp;"_"&amp;$J176,Tab.Measure.f.Default!$1:$1,0)-1)</f>
        <v>0.75</v>
      </c>
      <c r="AT176" s="29" t="str">
        <f t="shared" si="126"/>
        <v>MUH.NA.05</v>
      </c>
      <c r="AU176" s="17">
        <f>MATCH(AU$88&amp;"."&amp;AT176,Tab.Measure.f.Default!$A:$A,0)</f>
        <v>40</v>
      </c>
      <c r="AV176" s="21">
        <f ca="1">OFFSET(Tab.Measure.f.Default!$A$1,AU176-1,MATCH(AV$87&amp;"_"&amp;$J176,Tab.Measure.f.Default!$1:$1,0)-1)</f>
        <v>0.37</v>
      </c>
      <c r="AW176" s="30">
        <f t="shared" si="114"/>
        <v>0.70009999999999994</v>
      </c>
      <c r="AX176" s="9">
        <f t="shared" ca="1" si="127"/>
        <v>0.83333333333333337</v>
      </c>
      <c r="AY176" s="9">
        <f t="shared" ca="1" si="128"/>
        <v>3.4285714285714279</v>
      </c>
      <c r="AZ176" s="9">
        <f t="shared" ca="1" si="140"/>
        <v>4.261904761904761</v>
      </c>
      <c r="BA176" s="9">
        <f t="shared" ca="1" si="141"/>
        <v>0.23463687150837995</v>
      </c>
      <c r="BB176" s="9">
        <f t="shared" ca="1" si="129"/>
        <v>0.52414927374301679</v>
      </c>
      <c r="BC176" s="32" t="str">
        <f t="shared" si="130"/>
        <v>D</v>
      </c>
      <c r="BD176" s="20" t="str">
        <f ca="1">OFFSET(Tab.Uncertainty.Levels!$A$1,MATCH(BD$88,Tab.Uncertainty.Levels!$A:$A,0)-1,MATCH(BD$87&amp;"_"&amp;BC176,Tab.Uncertainty.Levels!$1:$1,0)-1)</f>
        <v>Use of default values; building constructed until 1983</v>
      </c>
      <c r="BE176" s="24">
        <f ca="1">OFFSET(Tab.Uncertainty.Levels!$A$1,MATCH(BE$88,Tab.Uncertainty.Levels!$A:$A,0)-1,MATCH(BE$87&amp;"_"&amp;BC176,Tab.Uncertainty.Levels!$1:$1,0)-1)</f>
        <v>0.3</v>
      </c>
      <c r="BF176" s="32" t="str">
        <f t="shared" si="131"/>
        <v>-</v>
      </c>
      <c r="BG176" s="20" t="e">
        <f ca="1">OFFSET(Tab.Uncertainty.Levels!$A$1,MATCH(BG$88,Tab.Uncertainty.Levels!$A:$A,0)-1,MATCH(BG$87&amp;"_"&amp;BF176,Tab.Uncertainty.Levels!$1:$1,0)-1)</f>
        <v>#N/A</v>
      </c>
      <c r="BH176" s="24" t="e">
        <f ca="1">OFFSET(Tab.Uncertainty.Levels!$A$1,MATCH(BH$88,Tab.Uncertainty.Levels!$A:$A,0)-1,MATCH(BH$87&amp;"_"&amp;BF176,Tab.Uncertainty.Levels!$1:$1,0)-1)</f>
        <v>#N/A</v>
      </c>
      <c r="BI176" s="32" t="str">
        <f t="shared" si="137"/>
        <v>D</v>
      </c>
      <c r="BJ176" s="13">
        <f ca="1">IF(BF176="-",BE176,BH176)</f>
        <v>0.3</v>
      </c>
      <c r="BK176" s="32" t="str">
        <f>IF(OR($L176="NoDataSource",IFERROR(IF($S176="",#N/A,$S176),0)=0),IF(IFERROR(IF(U176="",#N/A,U176),0)=0,"E","D"),IF($L176="DesignDataPlusQA","A",IF($L176="DesignData","B","C")))</f>
        <v>C</v>
      </c>
      <c r="BL176" s="20" t="str">
        <f ca="1">OFFSET(Tab.Uncertainty.Levels!$A$1,MATCH(BL$88,Tab.Uncertainty.Levels!$A:$A,0)-1,MATCH(BL$87&amp;"_"&amp;BK176,Tab.Uncertainty.Levels!$1:$1,0)-1)</f>
        <v>Insulation thickness determined by inspection onsite / record or statement of owner</v>
      </c>
      <c r="BM176" s="24">
        <f ca="1">OFFSET(Tab.Uncertainty.Levels!$A$1,MATCH(BM$88,Tab.Uncertainty.Levels!$A:$A,0)-1,MATCH(BM$87&amp;"_"&amp;BK176,Tab.Uncertainty.Levels!$1:$1,0)-1)</f>
        <v>0.25</v>
      </c>
      <c r="BN176" s="34">
        <f ca="1">OFFSET(Tab.Uncertainty.Levels!$A$1,MATCH(BN$88,Tab.Uncertainty.Levels!$A:$A,0)-1,MATCH(BN$87&amp;"_"&amp;BK176,Tab.Uncertainty.Levels!$1:$1,0)-1)</f>
        <v>2</v>
      </c>
      <c r="BO176" s="13">
        <f ca="1">IFERROR(MIN(BM176,BN176/AN176),0)</f>
        <v>0.16666666666666666</v>
      </c>
      <c r="BP176" s="32" t="str">
        <f>IF(OR($L176="NoDataSource",IFERROR(IF($V176="",#N/A,$V176),0)=0),IF(IFERROR(IF(U176="",#N/A,U176),0)=0,"E","D"),IF($L176="DesignDataPlusQA","A",IF($L176="DesignData","B","C")))</f>
        <v>D</v>
      </c>
      <c r="BQ176" s="20" t="str">
        <f ca="1">OFFSET(Tab.Uncertainty.Levels!$A$1,MATCH(BQ$88,Tab.Uncertainty.Levels!$A:$A,0)-1,MATCH(BQ$87&amp;"_"&amp;BP176,Tab.Uncertainty.Levels!$1:$1,0)-1)</f>
        <v>Insulation available; no information about material</v>
      </c>
      <c r="BR176" s="97">
        <f ca="1">OFFSET(Tab.Uncertainty.Levels!$A$1,MATCH(BR$88,Tab.Uncertainty.Levels!$A:$A,0)-1,MATCH(BR$87&amp;"_"&amp;BP176,Tab.Uncertainty.Levels!$1:$1,0)-1)</f>
        <v>0.2</v>
      </c>
      <c r="BS176" s="32" t="str">
        <f>IF(L176="NoDataSource","D",IF(IFERROR(IF($T176="",#N/A,$T176),0)=0,IF(OR(IFERROR(IF($S176="",#N/A,$S176),0)&gt;0,$R176="Refurbish"),"D","E"),IF($L176="DesignDataPlusQA","A",IF($L176="DesignData","B","C"))))</f>
        <v>C</v>
      </c>
      <c r="BT176" s="20" t="str">
        <f ca="1">OFFSET(Tab.Uncertainty.Levels!$A$1,MATCH(BT$88,Tab.Uncertainty.Levels!$A:$A,0)-1,MATCH(BT$87&amp;"_"&amp;BS176,Tab.Uncertainty.Levels!$1:$1,0)-1)</f>
        <v>Insulation fraction determined by inspection onsite / record or statement of owner</v>
      </c>
      <c r="BU176" s="33">
        <f ca="1">OFFSET(Tab.Uncertainty.Levels!$A$1,MATCH(BU$88,Tab.Uncertainty.Levels!$A:$A,0)-1,MATCH(BU$87&amp;"_"&amp;BS176,Tab.Uncertainty.Levels!$1:$1,0)-1)</f>
        <v>0.2</v>
      </c>
      <c r="BV176" s="13">
        <f ca="1">IFERROR(MIN(BU176/AW176,1,(1-AW176)/AW176),0)</f>
        <v>0.28567347521782605</v>
      </c>
      <c r="BW176" s="96">
        <f ca="1">ABS(1+(AW176*(1/(1+AN176/100/AP176*AG176)^2-1)))*BJ176*$AG176</f>
        <v>0.11759990711900377</v>
      </c>
      <c r="BX176" s="96">
        <f ca="1">ABS(-AG176+1/(1/AG176+AN176/100/AP176))*BV176*AW176</f>
        <v>0.19307262569832398</v>
      </c>
      <c r="BY176" s="96">
        <f ca="1">ABS(-AW176*AP176/((AP176/AG176+AN176/100)^2))*(BO176*AN176/100)</f>
        <v>2.2024930557722918E-2</v>
      </c>
      <c r="BZ176" s="202">
        <f ca="1">ABS(AW176*AN176/100/(1/AG176*AP176+AN176/100)^2)*(BR176*AP176)</f>
        <v>2.6429916669267504E-2</v>
      </c>
      <c r="CA176" s="103">
        <f t="shared" ca="1" si="117"/>
        <v>0.22867097544214127</v>
      </c>
      <c r="CB176" s="37">
        <f t="shared" ca="1" si="132"/>
        <v>0.2243633884660525</v>
      </c>
      <c r="CC176" s="37">
        <f t="shared" ca="1" si="133"/>
        <v>0.36835427495600204</v>
      </c>
      <c r="CD176" s="37">
        <f t="shared" ca="1" si="134"/>
        <v>4.2020339741081929E-2</v>
      </c>
      <c r="CE176" s="37">
        <f t="shared" ca="1" si="135"/>
        <v>5.0424407689298317E-2</v>
      </c>
      <c r="CF176" s="13">
        <f t="shared" ca="1" si="136"/>
        <v>0.43627070931372786</v>
      </c>
      <c r="CG176" s="101">
        <f ca="1">AG176</f>
        <v>1.2</v>
      </c>
      <c r="CH176" s="101">
        <f>AW176</f>
        <v>0.70009999999999994</v>
      </c>
      <c r="CI176" s="203">
        <f>IF(CH176&gt;0,AN176,0)</f>
        <v>12</v>
      </c>
      <c r="CJ176" s="102">
        <f ca="1">IF(AND(CH176&gt;0,CI176&gt;0),AP176,0)</f>
        <v>3.5000000000000003E-2</v>
      </c>
      <c r="CK176" s="102">
        <f ca="1">BB176</f>
        <v>0.52414927374301679</v>
      </c>
      <c r="CL176" s="37">
        <f t="shared" ca="1" si="99"/>
        <v>0.3</v>
      </c>
      <c r="CM176" s="37">
        <f t="shared" ca="1" si="100"/>
        <v>0.28567347521782605</v>
      </c>
      <c r="CN176" s="37">
        <f t="shared" ca="1" si="101"/>
        <v>0.16666666666666666</v>
      </c>
      <c r="CO176" s="37">
        <f t="shared" ca="1" si="102"/>
        <v>0.2</v>
      </c>
      <c r="CP176" s="37">
        <f t="shared" ca="1" si="103"/>
        <v>0.43627070931372786</v>
      </c>
      <c r="CQ176" s="95">
        <f t="shared" ca="1" si="104"/>
        <v>0.36</v>
      </c>
      <c r="CR176" s="95">
        <f t="shared" ca="1" si="105"/>
        <v>0.2</v>
      </c>
      <c r="CS176" s="95">
        <f t="shared" ca="1" si="106"/>
        <v>2</v>
      </c>
      <c r="CT176" s="103">
        <f t="shared" ca="1" si="107"/>
        <v>7.000000000000001E-3</v>
      </c>
      <c r="CU176" s="95">
        <f t="shared" ca="1" si="108"/>
        <v>0.22867097544214124</v>
      </c>
      <c r="CV176" s="37">
        <f ca="1">$CB176^2/$CF176^2</f>
        <v>0.26447941084122867</v>
      </c>
      <c r="CW176" s="37">
        <f ca="1">$CD176^2/$CF176^2</f>
        <v>9.2769882584197837E-3</v>
      </c>
      <c r="CX176" s="37">
        <f ca="1">$CE176^2/$CF176^2</f>
        <v>1.3358863092124491E-2</v>
      </c>
      <c r="CY176" s="37">
        <f ca="1">$CC176^2/$CF176^2</f>
        <v>0.71288473780822725</v>
      </c>
      <c r="DA176" s="98" t="s">
        <v>214</v>
      </c>
      <c r="DB176" s="36">
        <f ca="1">OFFSET($A$1,ROW(DB176)-1,MATCH(DA176,$1:$1,0)-1)</f>
        <v>12</v>
      </c>
      <c r="DC176" s="9">
        <f ca="1">BB176</f>
        <v>0.52414927374301679</v>
      </c>
      <c r="DD176" s="9">
        <f ca="1">$DC176+$CA176</f>
        <v>0.75282024918515811</v>
      </c>
      <c r="DE176" s="9">
        <f ca="1">$DC176-$CA176</f>
        <v>0.29547829830087552</v>
      </c>
      <c r="DF176" s="10">
        <f t="shared" ca="1" si="87"/>
        <v>0.43627070931372797</v>
      </c>
    </row>
    <row r="177" spans="1:110" s="8" customFormat="1" ht="32.4" customHeight="1">
      <c r="A177" s="206" t="s">
        <v>613</v>
      </c>
      <c r="B177" s="208" t="s">
        <v>2344</v>
      </c>
      <c r="C177" s="206" t="str">
        <f t="shared" si="138"/>
        <v>Parameter-Variation: f_Insulation = 80%</v>
      </c>
      <c r="D177" s="206"/>
      <c r="E177" s="206" t="s">
        <v>201</v>
      </c>
      <c r="F177" s="206" t="str">
        <f t="shared" si="139"/>
        <v>80%</v>
      </c>
      <c r="G177" s="206" t="s">
        <v>2170</v>
      </c>
      <c r="H177" s="206" t="s">
        <v>2171</v>
      </c>
      <c r="I177" s="156" t="s">
        <v>80</v>
      </c>
      <c r="J177" s="156" t="s">
        <v>134</v>
      </c>
      <c r="K177" s="156" t="s">
        <v>155</v>
      </c>
      <c r="L177" s="156" t="s">
        <v>66</v>
      </c>
      <c r="M177" s="156" t="s">
        <v>188</v>
      </c>
      <c r="N177" s="7">
        <v>1960</v>
      </c>
      <c r="O177" s="156">
        <v>1</v>
      </c>
      <c r="P177" s="156">
        <v>0</v>
      </c>
      <c r="Q177" s="156" t="s">
        <v>435</v>
      </c>
      <c r="R177" s="156" t="s">
        <v>58</v>
      </c>
      <c r="S177" s="19">
        <v>12</v>
      </c>
      <c r="T177" s="19">
        <f t="shared" si="142"/>
        <v>0.80009999999999992</v>
      </c>
      <c r="U177" s="19">
        <v>2016</v>
      </c>
      <c r="V177" s="19" t="e">
        <v>#N/A</v>
      </c>
      <c r="W177" s="28" t="s">
        <v>59</v>
      </c>
      <c r="X177" s="19" t="e">
        <v>#N/A</v>
      </c>
      <c r="Y177" s="105">
        <f ca="1">IFERROR(OFFSET(Tab.Const.ConstrBorder!$A$1,MATCH(Q177,Tab.Const.ConstrBorder!$A:$A,0)-1,MATCH(Y$87,Tab.Const.ConstrBorder!$1:$1,0)-1),0)</f>
        <v>0</v>
      </c>
      <c r="Z177" s="18">
        <f t="shared" si="110"/>
        <v>1960</v>
      </c>
      <c r="AA177" s="17">
        <f>MATCH(Z177,Tab.Year.Period!$11:$11,1)-3</f>
        <v>5</v>
      </c>
      <c r="AB177" s="17">
        <f>MATCH(AB$88&amp;"."&amp;TEXT(AA177,"00"),Tab.U.Default!$A:$A,0)</f>
        <v>28</v>
      </c>
      <c r="AC177" s="105">
        <f ca="1">OFFSET(Tab.U.Default!$A$1,$AB177-1,MATCH("U_Class_"&amp;IF($J177="TopCeiling","UpperCeiling",$J177)&amp;"_"&amp;AC$87,Tab.U.Default!$1:$1,0)-1)</f>
        <v>1.2</v>
      </c>
      <c r="AD177" s="105">
        <f ca="1">OFFSET(Tab.U.Default!$A$1,$AB177-1,MATCH("U_Class_"&amp;IF($J177="TopCeiling","UpperCeiling",$J177)&amp;"_"&amp;AD$87,Tab.U.Default!$1:$1,0)-1)</f>
        <v>1.2</v>
      </c>
      <c r="AE177" s="105">
        <f ca="1">OFFSET(Tab.U.Default!$A$1,$AB177-1,MATCH("U_Class_"&amp;IF($J177="TopCeiling","UpperCeiling",$J177)&amp;"_"&amp;AE$87,Tab.U.Default!$1:$1,0)-1)</f>
        <v>0.8</v>
      </c>
      <c r="AF177" s="26">
        <f t="shared" ca="1" si="96"/>
        <v>1.2</v>
      </c>
      <c r="AG177" s="26">
        <f t="shared" ca="1" si="97"/>
        <v>1.2</v>
      </c>
      <c r="AH177" s="18" t="str">
        <f t="shared" si="124"/>
        <v>Refurbish</v>
      </c>
      <c r="AI177" s="18" t="str">
        <f t="shared" si="111"/>
        <v>Add</v>
      </c>
      <c r="AJ177" s="18">
        <f t="shared" si="98"/>
        <v>2016</v>
      </c>
      <c r="AK177" s="17">
        <f>MATCH(AJ177,Tab.Year.Period!$11:$11,1)-3</f>
        <v>12</v>
      </c>
      <c r="AL177" s="17">
        <f>MATCH(AL$88&amp;"."&amp;TEXT(AK177,"00"),Tab.Insulation.Default!$A:$A,0)</f>
        <v>23</v>
      </c>
      <c r="AM177" s="20" t="e">
        <f ca="1">IF(ISNA(IF(S177="",#N/A,S177)),OFFSET(Tab.Insulation.Default!$A$1,$AL177-1,MATCH(AM$87&amp;"_"&amp;$K177,Tab.Insulation.Default!$1:$1,0)-1),#N/A)</f>
        <v>#N/A</v>
      </c>
      <c r="AN177" s="27">
        <f t="shared" si="112"/>
        <v>12</v>
      </c>
      <c r="AO177" s="22">
        <f ca="1">IF(ISNA(IF(V177="",#N/A,V177)),OFFSET(Tab.Insulation.Default!$A$1,$AL177-1,MATCH(AO$87&amp;"_"&amp;$K177,Tab.Insulation.Default!$1:$1,0)-1),#N/A)</f>
        <v>3.5000000000000003E-2</v>
      </c>
      <c r="AP177" s="23">
        <f t="shared" ca="1" si="113"/>
        <v>3.5000000000000003E-2</v>
      </c>
      <c r="AQ177" s="29" t="str">
        <f t="shared" si="125"/>
        <v>Gen.Refurbished.12</v>
      </c>
      <c r="AR177" s="17">
        <f>MATCH(AR$88&amp;"."&amp;AQ177,Tab.Measure.f.Default!$A:$A,0)</f>
        <v>23</v>
      </c>
      <c r="AS177" s="21">
        <f ca="1">OFFSET(Tab.Measure.f.Default!$A$1,AR177-1,MATCH(AS$87&amp;"_"&amp;$J177,Tab.Measure.f.Default!$1:$1,0)-1)</f>
        <v>0.75</v>
      </c>
      <c r="AT177" s="29" t="str">
        <f t="shared" si="126"/>
        <v>MUH.NA.05</v>
      </c>
      <c r="AU177" s="17">
        <f>MATCH(AU$88&amp;"."&amp;AT177,Tab.Measure.f.Default!$A:$A,0)</f>
        <v>40</v>
      </c>
      <c r="AV177" s="21">
        <f ca="1">OFFSET(Tab.Measure.f.Default!$A$1,AU177-1,MATCH(AV$87&amp;"_"&amp;$J177,Tab.Measure.f.Default!$1:$1,0)-1)</f>
        <v>0.37</v>
      </c>
      <c r="AW177" s="30">
        <f t="shared" si="114"/>
        <v>0.80009999999999992</v>
      </c>
      <c r="AX177" s="9">
        <f t="shared" ca="1" si="127"/>
        <v>0.83333333333333337</v>
      </c>
      <c r="AY177" s="9">
        <f t="shared" ca="1" si="128"/>
        <v>3.4285714285714279</v>
      </c>
      <c r="AZ177" s="9">
        <f t="shared" ca="1" si="140"/>
        <v>4.261904761904761</v>
      </c>
      <c r="BA177" s="9">
        <f t="shared" ca="1" si="141"/>
        <v>0.23463687150837995</v>
      </c>
      <c r="BB177" s="9">
        <f t="shared" ca="1" si="129"/>
        <v>0.42761296089385487</v>
      </c>
      <c r="BC177" s="32" t="str">
        <f t="shared" si="130"/>
        <v>D</v>
      </c>
      <c r="BD177" s="20" t="str">
        <f ca="1">OFFSET(Tab.Uncertainty.Levels!$A$1,MATCH(BD$88,Tab.Uncertainty.Levels!$A:$A,0)-1,MATCH(BD$87&amp;"_"&amp;BC177,Tab.Uncertainty.Levels!$1:$1,0)-1)</f>
        <v>Use of default values; building constructed until 1983</v>
      </c>
      <c r="BE177" s="24">
        <f ca="1">OFFSET(Tab.Uncertainty.Levels!$A$1,MATCH(BE$88,Tab.Uncertainty.Levels!$A:$A,0)-1,MATCH(BE$87&amp;"_"&amp;BC177,Tab.Uncertainty.Levels!$1:$1,0)-1)</f>
        <v>0.3</v>
      </c>
      <c r="BF177" s="32" t="str">
        <f t="shared" si="131"/>
        <v>-</v>
      </c>
      <c r="BG177" s="20" t="e">
        <f ca="1">OFFSET(Tab.Uncertainty.Levels!$A$1,MATCH(BG$88,Tab.Uncertainty.Levels!$A:$A,0)-1,MATCH(BG$87&amp;"_"&amp;BF177,Tab.Uncertainty.Levels!$1:$1,0)-1)</f>
        <v>#N/A</v>
      </c>
      <c r="BH177" s="24" t="e">
        <f ca="1">OFFSET(Tab.Uncertainty.Levels!$A$1,MATCH(BH$88,Tab.Uncertainty.Levels!$A:$A,0)-1,MATCH(BH$87&amp;"_"&amp;BF177,Tab.Uncertainty.Levels!$1:$1,0)-1)</f>
        <v>#N/A</v>
      </c>
      <c r="BI177" s="32" t="str">
        <f t="shared" si="137"/>
        <v>D</v>
      </c>
      <c r="BJ177" s="13">
        <f ca="1">IF(BF177="-",BE177,BH177)</f>
        <v>0.3</v>
      </c>
      <c r="BK177" s="32" t="str">
        <f>IF(OR($L177="NoDataSource",IFERROR(IF($S177="",#N/A,$S177),0)=0),IF(IFERROR(IF(U177="",#N/A,U177),0)=0,"E","D"),IF($L177="DesignDataPlusQA","A",IF($L177="DesignData","B","C")))</f>
        <v>C</v>
      </c>
      <c r="BL177" s="20" t="str">
        <f ca="1">OFFSET(Tab.Uncertainty.Levels!$A$1,MATCH(BL$88,Tab.Uncertainty.Levels!$A:$A,0)-1,MATCH(BL$87&amp;"_"&amp;BK177,Tab.Uncertainty.Levels!$1:$1,0)-1)</f>
        <v>Insulation thickness determined by inspection onsite / record or statement of owner</v>
      </c>
      <c r="BM177" s="24">
        <f ca="1">OFFSET(Tab.Uncertainty.Levels!$A$1,MATCH(BM$88,Tab.Uncertainty.Levels!$A:$A,0)-1,MATCH(BM$87&amp;"_"&amp;BK177,Tab.Uncertainty.Levels!$1:$1,0)-1)</f>
        <v>0.25</v>
      </c>
      <c r="BN177" s="34">
        <f ca="1">OFFSET(Tab.Uncertainty.Levels!$A$1,MATCH(BN$88,Tab.Uncertainty.Levels!$A:$A,0)-1,MATCH(BN$87&amp;"_"&amp;BK177,Tab.Uncertainty.Levels!$1:$1,0)-1)</f>
        <v>2</v>
      </c>
      <c r="BO177" s="13">
        <f ca="1">IFERROR(MIN(BM177,BN177/AN177),0)</f>
        <v>0.16666666666666666</v>
      </c>
      <c r="BP177" s="32" t="str">
        <f>IF(OR($L177="NoDataSource",IFERROR(IF($V177="",#N/A,$V177),0)=0),IF(IFERROR(IF(U177="",#N/A,U177),0)=0,"E","D"),IF($L177="DesignDataPlusQA","A",IF($L177="DesignData","B","C")))</f>
        <v>D</v>
      </c>
      <c r="BQ177" s="20" t="str">
        <f ca="1">OFFSET(Tab.Uncertainty.Levels!$A$1,MATCH(BQ$88,Tab.Uncertainty.Levels!$A:$A,0)-1,MATCH(BQ$87&amp;"_"&amp;BP177,Tab.Uncertainty.Levels!$1:$1,0)-1)</f>
        <v>Insulation available; no information about material</v>
      </c>
      <c r="BR177" s="97">
        <f ca="1">OFFSET(Tab.Uncertainty.Levels!$A$1,MATCH(BR$88,Tab.Uncertainty.Levels!$A:$A,0)-1,MATCH(BR$87&amp;"_"&amp;BP177,Tab.Uncertainty.Levels!$1:$1,0)-1)</f>
        <v>0.2</v>
      </c>
      <c r="BS177" s="32" t="str">
        <f>IF(L177="NoDataSource","D",IF(IFERROR(IF($T177="",#N/A,$T177),0)=0,IF(OR(IFERROR(IF($S177="",#N/A,$S177),0)&gt;0,$R177="Refurbish"),"D","E"),IF($L177="DesignDataPlusQA","A",IF($L177="DesignData","B","C"))))</f>
        <v>C</v>
      </c>
      <c r="BT177" s="20" t="str">
        <f ca="1">OFFSET(Tab.Uncertainty.Levels!$A$1,MATCH(BT$88,Tab.Uncertainty.Levels!$A:$A,0)-1,MATCH(BT$87&amp;"_"&amp;BS177,Tab.Uncertainty.Levels!$1:$1,0)-1)</f>
        <v>Insulation fraction determined by inspection onsite / record or statement of owner</v>
      </c>
      <c r="BU177" s="33">
        <f ca="1">OFFSET(Tab.Uncertainty.Levels!$A$1,MATCH(BU$88,Tab.Uncertainty.Levels!$A:$A,0)-1,MATCH(BU$87&amp;"_"&amp;BS177,Tab.Uncertainty.Levels!$1:$1,0)-1)</f>
        <v>0.2</v>
      </c>
      <c r="BV177" s="13">
        <f ca="1">IFERROR(MIN(BU177/AW177,1,(1-AW177)/AW177),0)</f>
        <v>0.24984376952880902</v>
      </c>
      <c r="BW177" s="96">
        <f ca="1">ABS(1+(AW177*(1/(1+AN177/100/AP177*AG177)^2-1)))*BJ177*$AG177</f>
        <v>8.2976268655784793E-2</v>
      </c>
      <c r="BX177" s="96">
        <f ca="1">ABS(-AG177+1/(1/AG177+AN177/100/AP177))*BV177*AW177</f>
        <v>0.19297608938547492</v>
      </c>
      <c r="BY177" s="96">
        <f ca="1">ABS(-AW177*AP177/((AP177/AG177+AN177/100)^2))*(BO177*AN177/100)</f>
        <v>2.5170899784650917E-2</v>
      </c>
      <c r="BZ177" s="202">
        <f ca="1">ABS(AW177*AN177/100/(1/AG177*AP177+AN177/100)^2)*(BR177*AP177)</f>
        <v>3.0205079741581101E-2</v>
      </c>
      <c r="CA177" s="103">
        <f t="shared" ca="1" si="117"/>
        <v>0.21370716710656196</v>
      </c>
      <c r="CB177" s="37">
        <f t="shared" ca="1" si="132"/>
        <v>0.19404526112196527</v>
      </c>
      <c r="CC177" s="37">
        <f t="shared" ca="1" si="133"/>
        <v>0.4512868108162344</v>
      </c>
      <c r="CD177" s="37">
        <f t="shared" ca="1" si="134"/>
        <v>5.8863743821130382E-2</v>
      </c>
      <c r="CE177" s="37">
        <f t="shared" ca="1" si="135"/>
        <v>7.0636492585356467E-2</v>
      </c>
      <c r="CF177" s="13">
        <f t="shared" ca="1" si="136"/>
        <v>0.49976774946166763</v>
      </c>
      <c r="CG177" s="101">
        <f ca="1">AG177</f>
        <v>1.2</v>
      </c>
      <c r="CH177" s="101">
        <f>AW177</f>
        <v>0.80009999999999992</v>
      </c>
      <c r="CI177" s="203">
        <f>IF(CH177&gt;0,AN177,0)</f>
        <v>12</v>
      </c>
      <c r="CJ177" s="102">
        <f ca="1">IF(AND(CH177&gt;0,CI177&gt;0),AP177,0)</f>
        <v>3.5000000000000003E-2</v>
      </c>
      <c r="CK177" s="102">
        <f ca="1">BB177</f>
        <v>0.42761296089385487</v>
      </c>
      <c r="CL177" s="37">
        <f t="shared" ca="1" si="99"/>
        <v>0.3</v>
      </c>
      <c r="CM177" s="37">
        <f t="shared" ca="1" si="100"/>
        <v>0.24984376952880902</v>
      </c>
      <c r="CN177" s="37">
        <f t="shared" ca="1" si="101"/>
        <v>0.16666666666666666</v>
      </c>
      <c r="CO177" s="37">
        <f t="shared" ca="1" si="102"/>
        <v>0.2</v>
      </c>
      <c r="CP177" s="37">
        <f t="shared" ca="1" si="103"/>
        <v>0.49976774946166763</v>
      </c>
      <c r="CQ177" s="95">
        <f t="shared" ca="1" si="104"/>
        <v>0.36</v>
      </c>
      <c r="CR177" s="95">
        <f t="shared" ca="1" si="105"/>
        <v>0.19990000000000008</v>
      </c>
      <c r="CS177" s="95">
        <f t="shared" ca="1" si="106"/>
        <v>2</v>
      </c>
      <c r="CT177" s="103">
        <f t="shared" ca="1" si="107"/>
        <v>7.000000000000001E-3</v>
      </c>
      <c r="CU177" s="95">
        <f t="shared" ca="1" si="108"/>
        <v>0.21370716710656193</v>
      </c>
      <c r="CV177" s="37">
        <f ca="1">$CB177^2/$CF177^2</f>
        <v>0.15075427197192209</v>
      </c>
      <c r="CW177" s="37">
        <f ca="1">$CD177^2/$CF177^2</f>
        <v>1.3872646071451956E-2</v>
      </c>
      <c r="CX177" s="37">
        <f ca="1">$CE177^2/$CF177^2</f>
        <v>1.9976610342890822E-2</v>
      </c>
      <c r="CY177" s="37">
        <f ca="1">$CC177^2/$CF177^2</f>
        <v>0.8153964716137353</v>
      </c>
      <c r="DA177" s="98" t="s">
        <v>214</v>
      </c>
      <c r="DB177" s="36">
        <f ca="1">OFFSET($A$1,ROW(DB177)-1,MATCH(DA177,$1:$1,0)-1)</f>
        <v>12</v>
      </c>
      <c r="DC177" s="9">
        <f ca="1">BB177</f>
        <v>0.42761296089385487</v>
      </c>
      <c r="DD177" s="9">
        <f ca="1">$DC177+$CA177</f>
        <v>0.64132012800041682</v>
      </c>
      <c r="DE177" s="9">
        <f ca="1">$DC177-$CA177</f>
        <v>0.21390579378729291</v>
      </c>
      <c r="DF177" s="10">
        <f t="shared" ca="1" si="87"/>
        <v>0.49976774946166769</v>
      </c>
    </row>
    <row r="178" spans="1:110" s="8" customFormat="1" ht="32.4" customHeight="1">
      <c r="A178" s="206" t="s">
        <v>614</v>
      </c>
      <c r="B178" s="208" t="s">
        <v>2344</v>
      </c>
      <c r="C178" s="206" t="str">
        <f t="shared" si="138"/>
        <v>Parameter-Variation: f_Insulation = 90%</v>
      </c>
      <c r="D178" s="206"/>
      <c r="E178" s="206" t="s">
        <v>201</v>
      </c>
      <c r="F178" s="206" t="str">
        <f t="shared" si="139"/>
        <v>90%</v>
      </c>
      <c r="G178" s="206" t="s">
        <v>2170</v>
      </c>
      <c r="H178" s="206" t="s">
        <v>2171</v>
      </c>
      <c r="I178" s="156" t="s">
        <v>80</v>
      </c>
      <c r="J178" s="156" t="s">
        <v>134</v>
      </c>
      <c r="K178" s="156" t="s">
        <v>155</v>
      </c>
      <c r="L178" s="156" t="s">
        <v>66</v>
      </c>
      <c r="M178" s="156" t="s">
        <v>188</v>
      </c>
      <c r="N178" s="7">
        <v>1960</v>
      </c>
      <c r="O178" s="156">
        <v>1</v>
      </c>
      <c r="P178" s="156">
        <v>0</v>
      </c>
      <c r="Q178" s="156" t="s">
        <v>435</v>
      </c>
      <c r="R178" s="156" t="s">
        <v>58</v>
      </c>
      <c r="S178" s="19">
        <v>12</v>
      </c>
      <c r="T178" s="19">
        <f t="shared" si="142"/>
        <v>0.9000999999999999</v>
      </c>
      <c r="U178" s="19">
        <v>2016</v>
      </c>
      <c r="V178" s="19" t="e">
        <v>#N/A</v>
      </c>
      <c r="W178" s="28" t="s">
        <v>59</v>
      </c>
      <c r="X178" s="19" t="e">
        <v>#N/A</v>
      </c>
      <c r="Y178" s="105">
        <f ca="1">IFERROR(OFFSET(Tab.Const.ConstrBorder!$A$1,MATCH(Q178,Tab.Const.ConstrBorder!$A:$A,0)-1,MATCH(Y$87,Tab.Const.ConstrBorder!$1:$1,0)-1),0)</f>
        <v>0</v>
      </c>
      <c r="Z178" s="18">
        <f t="shared" si="110"/>
        <v>1960</v>
      </c>
      <c r="AA178" s="17">
        <f>MATCH(Z178,Tab.Year.Period!$11:$11,1)-3</f>
        <v>5</v>
      </c>
      <c r="AB178" s="17">
        <f>MATCH(AB$88&amp;"."&amp;TEXT(AA178,"00"),Tab.U.Default!$A:$A,0)</f>
        <v>28</v>
      </c>
      <c r="AC178" s="105">
        <f ca="1">OFFSET(Tab.U.Default!$A$1,$AB178-1,MATCH("U_Class_"&amp;IF($J178="TopCeiling","UpperCeiling",$J178)&amp;"_"&amp;AC$87,Tab.U.Default!$1:$1,0)-1)</f>
        <v>1.2</v>
      </c>
      <c r="AD178" s="105">
        <f ca="1">OFFSET(Tab.U.Default!$A$1,$AB178-1,MATCH("U_Class_"&amp;IF($J178="TopCeiling","UpperCeiling",$J178)&amp;"_"&amp;AD$87,Tab.U.Default!$1:$1,0)-1)</f>
        <v>1.2</v>
      </c>
      <c r="AE178" s="105">
        <f ca="1">OFFSET(Tab.U.Default!$A$1,$AB178-1,MATCH("U_Class_"&amp;IF($J178="TopCeiling","UpperCeiling",$J178)&amp;"_"&amp;AE$87,Tab.U.Default!$1:$1,0)-1)</f>
        <v>0.8</v>
      </c>
      <c r="AF178" s="26">
        <f t="shared" ca="1" si="96"/>
        <v>1.2</v>
      </c>
      <c r="AG178" s="26">
        <f t="shared" ca="1" si="97"/>
        <v>1.2</v>
      </c>
      <c r="AH178" s="18" t="str">
        <f t="shared" si="124"/>
        <v>Refurbish</v>
      </c>
      <c r="AI178" s="18" t="str">
        <f t="shared" si="111"/>
        <v>Add</v>
      </c>
      <c r="AJ178" s="18">
        <f t="shared" si="98"/>
        <v>2016</v>
      </c>
      <c r="AK178" s="17">
        <f>MATCH(AJ178,Tab.Year.Period!$11:$11,1)-3</f>
        <v>12</v>
      </c>
      <c r="AL178" s="17">
        <f>MATCH(AL$88&amp;"."&amp;TEXT(AK178,"00"),Tab.Insulation.Default!$A:$A,0)</f>
        <v>23</v>
      </c>
      <c r="AM178" s="20" t="e">
        <f ca="1">IF(ISNA(IF(S178="",#N/A,S178)),OFFSET(Tab.Insulation.Default!$A$1,$AL178-1,MATCH(AM$87&amp;"_"&amp;$K178,Tab.Insulation.Default!$1:$1,0)-1),#N/A)</f>
        <v>#N/A</v>
      </c>
      <c r="AN178" s="27">
        <f t="shared" si="112"/>
        <v>12</v>
      </c>
      <c r="AO178" s="22">
        <f ca="1">IF(ISNA(IF(V178="",#N/A,V178)),OFFSET(Tab.Insulation.Default!$A$1,$AL178-1,MATCH(AO$87&amp;"_"&amp;$K178,Tab.Insulation.Default!$1:$1,0)-1),#N/A)</f>
        <v>3.5000000000000003E-2</v>
      </c>
      <c r="AP178" s="23">
        <f t="shared" ca="1" si="113"/>
        <v>3.5000000000000003E-2</v>
      </c>
      <c r="AQ178" s="29" t="str">
        <f t="shared" si="125"/>
        <v>Gen.Refurbished.12</v>
      </c>
      <c r="AR178" s="17">
        <f>MATCH(AR$88&amp;"."&amp;AQ178,Tab.Measure.f.Default!$A:$A,0)</f>
        <v>23</v>
      </c>
      <c r="AS178" s="21">
        <f ca="1">OFFSET(Tab.Measure.f.Default!$A$1,AR178-1,MATCH(AS$87&amp;"_"&amp;$J178,Tab.Measure.f.Default!$1:$1,0)-1)</f>
        <v>0.75</v>
      </c>
      <c r="AT178" s="29" t="str">
        <f t="shared" si="126"/>
        <v>MUH.NA.05</v>
      </c>
      <c r="AU178" s="17">
        <f>MATCH(AU$88&amp;"."&amp;AT178,Tab.Measure.f.Default!$A:$A,0)</f>
        <v>40</v>
      </c>
      <c r="AV178" s="21">
        <f ca="1">OFFSET(Tab.Measure.f.Default!$A$1,AU178-1,MATCH(AV$87&amp;"_"&amp;$J178,Tab.Measure.f.Default!$1:$1,0)-1)</f>
        <v>0.37</v>
      </c>
      <c r="AW178" s="30">
        <f t="shared" si="114"/>
        <v>0.9000999999999999</v>
      </c>
      <c r="AX178" s="9">
        <f t="shared" ca="1" si="127"/>
        <v>0.83333333333333337</v>
      </c>
      <c r="AY178" s="9">
        <f t="shared" ca="1" si="128"/>
        <v>3.4285714285714279</v>
      </c>
      <c r="AZ178" s="9">
        <f t="shared" ca="1" si="140"/>
        <v>4.261904761904761</v>
      </c>
      <c r="BA178" s="9">
        <f t="shared" ca="1" si="141"/>
        <v>0.23463687150837995</v>
      </c>
      <c r="BB178" s="9">
        <f t="shared" ca="1" si="129"/>
        <v>0.33107664804469289</v>
      </c>
      <c r="BC178" s="32" t="str">
        <f t="shared" si="130"/>
        <v>D</v>
      </c>
      <c r="BD178" s="20" t="str">
        <f ca="1">OFFSET(Tab.Uncertainty.Levels!$A$1,MATCH(BD$88,Tab.Uncertainty.Levels!$A:$A,0)-1,MATCH(BD$87&amp;"_"&amp;BC178,Tab.Uncertainty.Levels!$1:$1,0)-1)</f>
        <v>Use of default values; building constructed until 1983</v>
      </c>
      <c r="BE178" s="24">
        <f ca="1">OFFSET(Tab.Uncertainty.Levels!$A$1,MATCH(BE$88,Tab.Uncertainty.Levels!$A:$A,0)-1,MATCH(BE$87&amp;"_"&amp;BC178,Tab.Uncertainty.Levels!$1:$1,0)-1)</f>
        <v>0.3</v>
      </c>
      <c r="BF178" s="32" t="str">
        <f t="shared" si="131"/>
        <v>-</v>
      </c>
      <c r="BG178" s="20" t="e">
        <f ca="1">OFFSET(Tab.Uncertainty.Levels!$A$1,MATCH(BG$88,Tab.Uncertainty.Levels!$A:$A,0)-1,MATCH(BG$87&amp;"_"&amp;BF178,Tab.Uncertainty.Levels!$1:$1,0)-1)</f>
        <v>#N/A</v>
      </c>
      <c r="BH178" s="24" t="e">
        <f ca="1">OFFSET(Tab.Uncertainty.Levels!$A$1,MATCH(BH$88,Tab.Uncertainty.Levels!$A:$A,0)-1,MATCH(BH$87&amp;"_"&amp;BF178,Tab.Uncertainty.Levels!$1:$1,0)-1)</f>
        <v>#N/A</v>
      </c>
      <c r="BI178" s="32" t="str">
        <f t="shared" si="137"/>
        <v>D</v>
      </c>
      <c r="BJ178" s="13">
        <f ca="1">IF(BF178="-",BE178,BH178)</f>
        <v>0.3</v>
      </c>
      <c r="BK178" s="32" t="str">
        <f>IF(OR($L178="NoDataSource",IFERROR(IF($S178="",#N/A,$S178),0)=0),IF(IFERROR(IF(U178="",#N/A,U178),0)=0,"E","D"),IF($L178="DesignDataPlusQA","A",IF($L178="DesignData","B","C")))</f>
        <v>C</v>
      </c>
      <c r="BL178" s="20" t="str">
        <f ca="1">OFFSET(Tab.Uncertainty.Levels!$A$1,MATCH(BL$88,Tab.Uncertainty.Levels!$A:$A,0)-1,MATCH(BL$87&amp;"_"&amp;BK178,Tab.Uncertainty.Levels!$1:$1,0)-1)</f>
        <v>Insulation thickness determined by inspection onsite / record or statement of owner</v>
      </c>
      <c r="BM178" s="24">
        <f ca="1">OFFSET(Tab.Uncertainty.Levels!$A$1,MATCH(BM$88,Tab.Uncertainty.Levels!$A:$A,0)-1,MATCH(BM$87&amp;"_"&amp;BK178,Tab.Uncertainty.Levels!$1:$1,0)-1)</f>
        <v>0.25</v>
      </c>
      <c r="BN178" s="34">
        <f ca="1">OFFSET(Tab.Uncertainty.Levels!$A$1,MATCH(BN$88,Tab.Uncertainty.Levels!$A:$A,0)-1,MATCH(BN$87&amp;"_"&amp;BK178,Tab.Uncertainty.Levels!$1:$1,0)-1)</f>
        <v>2</v>
      </c>
      <c r="BO178" s="13">
        <f ca="1">IFERROR(MIN(BM178,BN178/AN178),0)</f>
        <v>0.16666666666666666</v>
      </c>
      <c r="BP178" s="32" t="str">
        <f>IF(OR($L178="NoDataSource",IFERROR(IF($V178="",#N/A,$V178),0)=0),IF(IFERROR(IF(U178="",#N/A,U178),0)=0,"E","D"),IF($L178="DesignDataPlusQA","A",IF($L178="DesignData","B","C")))</f>
        <v>D</v>
      </c>
      <c r="BQ178" s="20" t="str">
        <f ca="1">OFFSET(Tab.Uncertainty.Levels!$A$1,MATCH(BQ$88,Tab.Uncertainty.Levels!$A:$A,0)-1,MATCH(BQ$87&amp;"_"&amp;BP178,Tab.Uncertainty.Levels!$1:$1,0)-1)</f>
        <v>Insulation available; no information about material</v>
      </c>
      <c r="BR178" s="97">
        <f ca="1">OFFSET(Tab.Uncertainty.Levels!$A$1,MATCH(BR$88,Tab.Uncertainty.Levels!$A:$A,0)-1,MATCH(BR$87&amp;"_"&amp;BP178,Tab.Uncertainty.Levels!$1:$1,0)-1)</f>
        <v>0.2</v>
      </c>
      <c r="BS178" s="32" t="str">
        <f>IF(L178="NoDataSource","D",IF(IFERROR(IF($T178="",#N/A,$T178),0)=0,IF(OR(IFERROR(IF($S178="",#N/A,$S178),0)&gt;0,$R178="Refurbish"),"D","E"),IF($L178="DesignDataPlusQA","A",IF($L178="DesignData","B","C"))))</f>
        <v>C</v>
      </c>
      <c r="BT178" s="20" t="str">
        <f ca="1">OFFSET(Tab.Uncertainty.Levels!$A$1,MATCH(BT$88,Tab.Uncertainty.Levels!$A:$A,0)-1,MATCH(BT$87&amp;"_"&amp;BS178,Tab.Uncertainty.Levels!$1:$1,0)-1)</f>
        <v>Insulation fraction determined by inspection onsite / record or statement of owner</v>
      </c>
      <c r="BU178" s="33">
        <f ca="1">OFFSET(Tab.Uncertainty.Levels!$A$1,MATCH(BU$88,Tab.Uncertainty.Levels!$A:$A,0)-1,MATCH(BU$87&amp;"_"&amp;BS178,Tab.Uncertainty.Levels!$1:$1,0)-1)</f>
        <v>0.2</v>
      </c>
      <c r="BV178" s="13">
        <f ca="1">IFERROR(MIN(BU178/AW178,1,(1-AW178)/AW178),0)</f>
        <v>0.11098766803688491</v>
      </c>
      <c r="BW178" s="96">
        <f ca="1">ABS(1+(AW178*(1/(1+AN178/100/AP178*AG178)^2-1)))*BJ178*$AG178</f>
        <v>4.835263019256579E-2</v>
      </c>
      <c r="BX178" s="96">
        <f ca="1">ABS(-AG178+1/(1/AG178+AN178/100/AP178))*BV178*AW178</f>
        <v>9.6439776536312929E-2</v>
      </c>
      <c r="BY178" s="96">
        <f ca="1">ABS(-AW178*AP178/((AP178/AG178+AN178/100)^2))*(BO178*AN178/100)</f>
        <v>2.8316869011578913E-2</v>
      </c>
      <c r="BZ178" s="202">
        <f ca="1">ABS(AW178*AN178/100/(1/AG178*AP178+AN178/100)^2)*(BR178*AP178)</f>
        <v>3.3980242813894695E-2</v>
      </c>
      <c r="CA178" s="103">
        <f t="shared" ca="1" si="117"/>
        <v>0.11659806738202465</v>
      </c>
      <c r="CB178" s="37">
        <f t="shared" ca="1" si="132"/>
        <v>0.14604663445196697</v>
      </c>
      <c r="CC178" s="37">
        <f t="shared" ca="1" si="133"/>
        <v>0.29129138858290687</v>
      </c>
      <c r="CD178" s="37">
        <f t="shared" ca="1" si="134"/>
        <v>8.552964752668496E-2</v>
      </c>
      <c r="CE178" s="37">
        <f t="shared" ca="1" si="135"/>
        <v>0.10263557703202195</v>
      </c>
      <c r="CF178" s="13">
        <f t="shared" ca="1" si="136"/>
        <v>0.35217847006317637</v>
      </c>
      <c r="CG178" s="101">
        <f ca="1">AG178</f>
        <v>1.2</v>
      </c>
      <c r="CH178" s="101">
        <f>AW178</f>
        <v>0.9000999999999999</v>
      </c>
      <c r="CI178" s="203">
        <f>IF(CH178&gt;0,AN178,0)</f>
        <v>12</v>
      </c>
      <c r="CJ178" s="102">
        <f ca="1">IF(AND(CH178&gt;0,CI178&gt;0),AP178,0)</f>
        <v>3.5000000000000003E-2</v>
      </c>
      <c r="CK178" s="102">
        <f ca="1">BB178</f>
        <v>0.33107664804469289</v>
      </c>
      <c r="CL178" s="37">
        <f t="shared" ca="1" si="99"/>
        <v>0.3</v>
      </c>
      <c r="CM178" s="37">
        <f t="shared" ca="1" si="100"/>
        <v>0.11098766803688491</v>
      </c>
      <c r="CN178" s="37">
        <f t="shared" ca="1" si="101"/>
        <v>0.16666666666666666</v>
      </c>
      <c r="CO178" s="37">
        <f t="shared" ca="1" si="102"/>
        <v>0.2</v>
      </c>
      <c r="CP178" s="37">
        <f t="shared" ca="1" si="103"/>
        <v>0.35217847006317637</v>
      </c>
      <c r="CQ178" s="95">
        <f t="shared" ca="1" si="104"/>
        <v>0.36</v>
      </c>
      <c r="CR178" s="95">
        <f t="shared" ca="1" si="105"/>
        <v>9.99000000000001E-2</v>
      </c>
      <c r="CS178" s="95">
        <f t="shared" ca="1" si="106"/>
        <v>2</v>
      </c>
      <c r="CT178" s="103">
        <f t="shared" ca="1" si="107"/>
        <v>7.000000000000001E-3</v>
      </c>
      <c r="CU178" s="95">
        <f t="shared" ca="1" si="108"/>
        <v>0.11659806738202466</v>
      </c>
      <c r="CV178" s="37">
        <f ca="1">$CB178^2/$CF178^2</f>
        <v>0.17197190489502903</v>
      </c>
      <c r="CW178" s="37">
        <f ca="1">$CD178^2/$CF178^2</f>
        <v>5.8980406255585538E-2</v>
      </c>
      <c r="CX178" s="37">
        <f ca="1">$CE178^2/$CF178^2</f>
        <v>8.4931785008043173E-2</v>
      </c>
      <c r="CY178" s="37">
        <f ca="1">$CC178^2/$CF178^2</f>
        <v>0.68411590384134202</v>
      </c>
      <c r="DA178" s="98" t="s">
        <v>214</v>
      </c>
      <c r="DB178" s="36">
        <f ca="1">OFFSET($A$1,ROW(DB178)-1,MATCH(DA178,$1:$1,0)-1)</f>
        <v>12</v>
      </c>
      <c r="DC178" s="9">
        <f ca="1">BB178</f>
        <v>0.33107664804469289</v>
      </c>
      <c r="DD178" s="9">
        <f ca="1">$DC178+$CA178</f>
        <v>0.44767471542671755</v>
      </c>
      <c r="DE178" s="9">
        <f ca="1">$DC178-$CA178</f>
        <v>0.21447858066266823</v>
      </c>
      <c r="DF178" s="10">
        <f t="shared" ca="1" si="87"/>
        <v>0.35217847006317637</v>
      </c>
    </row>
    <row r="179" spans="1:110" s="8" customFormat="1" ht="32.4" customHeight="1">
      <c r="A179" s="206" t="s">
        <v>615</v>
      </c>
      <c r="B179" s="208" t="s">
        <v>2344</v>
      </c>
      <c r="C179" s="206" t="str">
        <f t="shared" si="138"/>
        <v>Parameter-Variation: f_Insulation = 100%</v>
      </c>
      <c r="D179" s="206"/>
      <c r="E179" s="206" t="s">
        <v>201</v>
      </c>
      <c r="F179" s="206" t="str">
        <f t="shared" si="139"/>
        <v>100%</v>
      </c>
      <c r="G179" s="206" t="s">
        <v>2170</v>
      </c>
      <c r="H179" s="206" t="s">
        <v>2171</v>
      </c>
      <c r="I179" s="156" t="s">
        <v>80</v>
      </c>
      <c r="J179" s="156" t="s">
        <v>134</v>
      </c>
      <c r="K179" s="156" t="s">
        <v>155</v>
      </c>
      <c r="L179" s="156" t="s">
        <v>66</v>
      </c>
      <c r="M179" s="156" t="s">
        <v>188</v>
      </c>
      <c r="N179" s="7">
        <v>1960</v>
      </c>
      <c r="O179" s="156">
        <v>1</v>
      </c>
      <c r="P179" s="156">
        <v>0</v>
      </c>
      <c r="Q179" s="156" t="s">
        <v>435</v>
      </c>
      <c r="R179" s="156" t="s">
        <v>58</v>
      </c>
      <c r="S179" s="19">
        <v>12</v>
      </c>
      <c r="T179" s="19">
        <f t="shared" si="142"/>
        <v>1.0001</v>
      </c>
      <c r="U179" s="19">
        <v>2016</v>
      </c>
      <c r="V179" s="19" t="e">
        <v>#N/A</v>
      </c>
      <c r="W179" s="28" t="s">
        <v>59</v>
      </c>
      <c r="X179" s="19" t="e">
        <v>#N/A</v>
      </c>
      <c r="Y179" s="105">
        <f ca="1">IFERROR(OFFSET(Tab.Const.ConstrBorder!$A$1,MATCH(Q179,Tab.Const.ConstrBorder!$A:$A,0)-1,MATCH(Y$87,Tab.Const.ConstrBorder!$1:$1,0)-1),0)</f>
        <v>0</v>
      </c>
      <c r="Z179" s="18">
        <f t="shared" si="110"/>
        <v>1960</v>
      </c>
      <c r="AA179" s="17">
        <f>MATCH(Z179,Tab.Year.Period!$11:$11,1)-3</f>
        <v>5</v>
      </c>
      <c r="AB179" s="17">
        <f>MATCH(AB$88&amp;"."&amp;TEXT(AA179,"00"),Tab.U.Default!$A:$A,0)</f>
        <v>28</v>
      </c>
      <c r="AC179" s="105">
        <f ca="1">OFFSET(Tab.U.Default!$A$1,$AB179-1,MATCH("U_Class_"&amp;IF($J179="TopCeiling","UpperCeiling",$J179)&amp;"_"&amp;AC$87,Tab.U.Default!$1:$1,0)-1)</f>
        <v>1.2</v>
      </c>
      <c r="AD179" s="105">
        <f ca="1">OFFSET(Tab.U.Default!$A$1,$AB179-1,MATCH("U_Class_"&amp;IF($J179="TopCeiling","UpperCeiling",$J179)&amp;"_"&amp;AD$87,Tab.U.Default!$1:$1,0)-1)</f>
        <v>1.2</v>
      </c>
      <c r="AE179" s="105">
        <f ca="1">OFFSET(Tab.U.Default!$A$1,$AB179-1,MATCH("U_Class_"&amp;IF($J179="TopCeiling","UpperCeiling",$J179)&amp;"_"&amp;AE$87,Tab.U.Default!$1:$1,0)-1)</f>
        <v>0.8</v>
      </c>
      <c r="AF179" s="26">
        <f t="shared" ca="1" si="96"/>
        <v>1.2</v>
      </c>
      <c r="AG179" s="26">
        <f t="shared" ca="1" si="97"/>
        <v>1.2</v>
      </c>
      <c r="AH179" s="18" t="str">
        <f t="shared" si="124"/>
        <v>Refurbish</v>
      </c>
      <c r="AI179" s="18" t="str">
        <f t="shared" si="111"/>
        <v>Add</v>
      </c>
      <c r="AJ179" s="18">
        <f t="shared" si="98"/>
        <v>2016</v>
      </c>
      <c r="AK179" s="17">
        <f>MATCH(AJ179,Tab.Year.Period!$11:$11,1)-3</f>
        <v>12</v>
      </c>
      <c r="AL179" s="17">
        <f>MATCH(AL$88&amp;"."&amp;TEXT(AK179,"00"),Tab.Insulation.Default!$A:$A,0)</f>
        <v>23</v>
      </c>
      <c r="AM179" s="20" t="e">
        <f ca="1">IF(ISNA(IF(S179="",#N/A,S179)),OFFSET(Tab.Insulation.Default!$A$1,$AL179-1,MATCH(AM$87&amp;"_"&amp;$K179,Tab.Insulation.Default!$1:$1,0)-1),#N/A)</f>
        <v>#N/A</v>
      </c>
      <c r="AN179" s="27">
        <f t="shared" si="112"/>
        <v>12</v>
      </c>
      <c r="AO179" s="22">
        <f ca="1">IF(ISNA(IF(V179="",#N/A,V179)),OFFSET(Tab.Insulation.Default!$A$1,$AL179-1,MATCH(AO$87&amp;"_"&amp;$K179,Tab.Insulation.Default!$1:$1,0)-1),#N/A)</f>
        <v>3.5000000000000003E-2</v>
      </c>
      <c r="AP179" s="23">
        <f t="shared" ca="1" si="113"/>
        <v>3.5000000000000003E-2</v>
      </c>
      <c r="AQ179" s="29" t="str">
        <f t="shared" si="125"/>
        <v>Gen.Refurbished.12</v>
      </c>
      <c r="AR179" s="17">
        <f>MATCH(AR$88&amp;"."&amp;AQ179,Tab.Measure.f.Default!$A:$A,0)</f>
        <v>23</v>
      </c>
      <c r="AS179" s="21">
        <f ca="1">OFFSET(Tab.Measure.f.Default!$A$1,AR179-1,MATCH(AS$87&amp;"_"&amp;$J179,Tab.Measure.f.Default!$1:$1,0)-1)</f>
        <v>0.75</v>
      </c>
      <c r="AT179" s="29" t="str">
        <f t="shared" si="126"/>
        <v>MUH.NA.05</v>
      </c>
      <c r="AU179" s="17">
        <f>MATCH(AU$88&amp;"."&amp;AT179,Tab.Measure.f.Default!$A:$A,0)</f>
        <v>40</v>
      </c>
      <c r="AV179" s="21">
        <f ca="1">OFFSET(Tab.Measure.f.Default!$A$1,AU179-1,MATCH(AV$87&amp;"_"&amp;$J179,Tab.Measure.f.Default!$1:$1,0)-1)</f>
        <v>0.37</v>
      </c>
      <c r="AW179" s="30">
        <f t="shared" si="114"/>
        <v>1.0001</v>
      </c>
      <c r="AX179" s="9">
        <f t="shared" ca="1" si="127"/>
        <v>0.83333333333333337</v>
      </c>
      <c r="AY179" s="9">
        <f t="shared" ca="1" si="128"/>
        <v>3.4285714285714279</v>
      </c>
      <c r="AZ179" s="9">
        <f t="shared" ca="1" si="140"/>
        <v>4.261904761904761</v>
      </c>
      <c r="BA179" s="9">
        <f t="shared" ca="1" si="141"/>
        <v>0.23463687150837995</v>
      </c>
      <c r="BB179" s="9">
        <f t="shared" ca="1" si="129"/>
        <v>0.2345403351955308</v>
      </c>
      <c r="BC179" s="32" t="str">
        <f t="shared" si="130"/>
        <v>D</v>
      </c>
      <c r="BD179" s="20" t="str">
        <f ca="1">OFFSET(Tab.Uncertainty.Levels!$A$1,MATCH(BD$88,Tab.Uncertainty.Levels!$A:$A,0)-1,MATCH(BD$87&amp;"_"&amp;BC179,Tab.Uncertainty.Levels!$1:$1,0)-1)</f>
        <v>Use of default values; building constructed until 1983</v>
      </c>
      <c r="BE179" s="24">
        <f ca="1">OFFSET(Tab.Uncertainty.Levels!$A$1,MATCH(BE$88,Tab.Uncertainty.Levels!$A:$A,0)-1,MATCH(BE$87&amp;"_"&amp;BC179,Tab.Uncertainty.Levels!$1:$1,0)-1)</f>
        <v>0.3</v>
      </c>
      <c r="BF179" s="32" t="str">
        <f t="shared" si="131"/>
        <v>-</v>
      </c>
      <c r="BG179" s="20" t="e">
        <f ca="1">OFFSET(Tab.Uncertainty.Levels!$A$1,MATCH(BG$88,Tab.Uncertainty.Levels!$A:$A,0)-1,MATCH(BG$87&amp;"_"&amp;BF179,Tab.Uncertainty.Levels!$1:$1,0)-1)</f>
        <v>#N/A</v>
      </c>
      <c r="BH179" s="24" t="e">
        <f ca="1">OFFSET(Tab.Uncertainty.Levels!$A$1,MATCH(BH$88,Tab.Uncertainty.Levels!$A:$A,0)-1,MATCH(BH$87&amp;"_"&amp;BF179,Tab.Uncertainty.Levels!$1:$1,0)-1)</f>
        <v>#N/A</v>
      </c>
      <c r="BI179" s="32" t="str">
        <f t="shared" si="137"/>
        <v>D</v>
      </c>
      <c r="BJ179" s="13">
        <f ca="1">IF(BF179="-",BE179,BH179)</f>
        <v>0.3</v>
      </c>
      <c r="BK179" s="32" t="str">
        <f>IF(OR($L179="NoDataSource",IFERROR(IF($S179="",#N/A,$S179),0)=0),IF(IFERROR(IF(U179="",#N/A,U179),0)=0,"E","D"),IF($L179="DesignDataPlusQA","A",IF($L179="DesignData","B","C")))</f>
        <v>C</v>
      </c>
      <c r="BL179" s="20" t="str">
        <f ca="1">OFFSET(Tab.Uncertainty.Levels!$A$1,MATCH(BL$88,Tab.Uncertainty.Levels!$A:$A,0)-1,MATCH(BL$87&amp;"_"&amp;BK179,Tab.Uncertainty.Levels!$1:$1,0)-1)</f>
        <v>Insulation thickness determined by inspection onsite / record or statement of owner</v>
      </c>
      <c r="BM179" s="24">
        <f ca="1">OFFSET(Tab.Uncertainty.Levels!$A$1,MATCH(BM$88,Tab.Uncertainty.Levels!$A:$A,0)-1,MATCH(BM$87&amp;"_"&amp;BK179,Tab.Uncertainty.Levels!$1:$1,0)-1)</f>
        <v>0.25</v>
      </c>
      <c r="BN179" s="34">
        <f ca="1">OFFSET(Tab.Uncertainty.Levels!$A$1,MATCH(BN$88,Tab.Uncertainty.Levels!$A:$A,0)-1,MATCH(BN$87&amp;"_"&amp;BK179,Tab.Uncertainty.Levels!$1:$1,0)-1)</f>
        <v>2</v>
      </c>
      <c r="BO179" s="13">
        <f ca="1">IFERROR(MIN(BM179,BN179/AN179),0)</f>
        <v>0.16666666666666666</v>
      </c>
      <c r="BP179" s="32" t="str">
        <f>IF(OR($L179="NoDataSource",IFERROR(IF($V179="",#N/A,$V179),0)=0),IF(IFERROR(IF(U179="",#N/A,U179),0)=0,"E","D"),IF($L179="DesignDataPlusQA","A",IF($L179="DesignData","B","C")))</f>
        <v>D</v>
      </c>
      <c r="BQ179" s="20" t="str">
        <f ca="1">OFFSET(Tab.Uncertainty.Levels!$A$1,MATCH(BQ$88,Tab.Uncertainty.Levels!$A:$A,0)-1,MATCH(BQ$87&amp;"_"&amp;BP179,Tab.Uncertainty.Levels!$1:$1,0)-1)</f>
        <v>Insulation available; no information about material</v>
      </c>
      <c r="BR179" s="97">
        <f ca="1">OFFSET(Tab.Uncertainty.Levels!$A$1,MATCH(BR$88,Tab.Uncertainty.Levels!$A:$A,0)-1,MATCH(BR$87&amp;"_"&amp;BP179,Tab.Uncertainty.Levels!$1:$1,0)-1)</f>
        <v>0.2</v>
      </c>
      <c r="BS179" s="32" t="str">
        <f>IF(L179="NoDataSource","D",IF(IFERROR(IF($T179="",#N/A,$T179),0)=0,IF(OR(IFERROR(IF($S179="",#N/A,$S179),0)&gt;0,$R179="Refurbish"),"D","E"),IF($L179="DesignDataPlusQA","A",IF($L179="DesignData","B","C"))))</f>
        <v>C</v>
      </c>
      <c r="BT179" s="20" t="str">
        <f ca="1">OFFSET(Tab.Uncertainty.Levels!$A$1,MATCH(BT$88,Tab.Uncertainty.Levels!$A:$A,0)-1,MATCH(BT$87&amp;"_"&amp;BS179,Tab.Uncertainty.Levels!$1:$1,0)-1)</f>
        <v>Insulation fraction determined by inspection onsite / record or statement of owner</v>
      </c>
      <c r="BU179" s="33">
        <f ca="1">OFFSET(Tab.Uncertainty.Levels!$A$1,MATCH(BU$88,Tab.Uncertainty.Levels!$A:$A,0)-1,MATCH(BU$87&amp;"_"&amp;BS179,Tab.Uncertainty.Levels!$1:$1,0)-1)</f>
        <v>0.2</v>
      </c>
      <c r="BV179" s="13">
        <f ca="1">IFERROR(MIN(BU179/AW179,1,(1-AW179)/AW179),0)</f>
        <v>-9.9990000999888997E-5</v>
      </c>
      <c r="BW179" s="96">
        <f ca="1">ABS(1+(AW179*(1/(1+AN179/100/AP179*AG179)^2-1)))*BJ179*$AG179</f>
        <v>1.372899172934677E-2</v>
      </c>
      <c r="BX179" s="96">
        <f ca="1">ABS(-AG179+1/(1/AG179+AN179/100/AP179))*BV179*AW179</f>
        <v>-9.6536312849151369E-5</v>
      </c>
      <c r="BY179" s="96">
        <f ca="1">ABS(-AW179*AP179/((AP179/AG179+AN179/100)^2))*(BO179*AN179/100)</f>
        <v>3.1462838238506916E-2</v>
      </c>
      <c r="BZ179" s="202">
        <f ca="1">ABS(AW179*AN179/100/(1/AG179*AP179+AN179/100)^2)*(BR179*AP179)</f>
        <v>3.7755405886208307E-2</v>
      </c>
      <c r="CA179" s="103">
        <f t="shared" ca="1" si="117"/>
        <v>5.1028182378161938E-2</v>
      </c>
      <c r="CB179" s="37">
        <f t="shared" ca="1" si="132"/>
        <v>5.8535738502723762E-2</v>
      </c>
      <c r="CC179" s="37">
        <f t="shared" ca="1" si="133"/>
        <v>-4.1159791457052064E-4</v>
      </c>
      <c r="CD179" s="37">
        <f t="shared" ca="1" si="134"/>
        <v>0.13414681194293118</v>
      </c>
      <c r="CE179" s="37">
        <f t="shared" ca="1" si="135"/>
        <v>0.16097617433151745</v>
      </c>
      <c r="CF179" s="13">
        <f t="shared" ca="1" si="136"/>
        <v>0.21756676665282723</v>
      </c>
      <c r="CG179" s="101">
        <f ca="1">AG179</f>
        <v>1.2</v>
      </c>
      <c r="CH179" s="101">
        <f>AW179</f>
        <v>1.0001</v>
      </c>
      <c r="CI179" s="203">
        <f>IF(CH179&gt;0,AN179,0)</f>
        <v>12</v>
      </c>
      <c r="CJ179" s="102">
        <f ca="1">IF(AND(CH179&gt;0,CI179&gt;0),AP179,0)</f>
        <v>3.5000000000000003E-2</v>
      </c>
      <c r="CK179" s="102">
        <f ca="1">BB179</f>
        <v>0.2345403351955308</v>
      </c>
      <c r="CL179" s="37">
        <f t="shared" ca="1" si="99"/>
        <v>0.3</v>
      </c>
      <c r="CM179" s="37">
        <f t="shared" ca="1" si="100"/>
        <v>-9.9990000999888997E-5</v>
      </c>
      <c r="CN179" s="37">
        <f t="shared" ca="1" si="101"/>
        <v>0.16666666666666666</v>
      </c>
      <c r="CO179" s="37">
        <f t="shared" ca="1" si="102"/>
        <v>0.2</v>
      </c>
      <c r="CP179" s="37">
        <f t="shared" ca="1" si="103"/>
        <v>0.21756676665282723</v>
      </c>
      <c r="CQ179" s="95">
        <f t="shared" ca="1" si="104"/>
        <v>0.36</v>
      </c>
      <c r="CR179" s="95">
        <f t="shared" ca="1" si="105"/>
        <v>-9.9999999999988987E-5</v>
      </c>
      <c r="CS179" s="95">
        <f t="shared" ca="1" si="106"/>
        <v>2</v>
      </c>
      <c r="CT179" s="103">
        <f t="shared" ca="1" si="107"/>
        <v>7.000000000000001E-3</v>
      </c>
      <c r="CU179" s="95">
        <f t="shared" ca="1" si="108"/>
        <v>5.1028182378161931E-2</v>
      </c>
      <c r="CV179" s="37">
        <f ca="1">$CB179^2/$CF179^2</f>
        <v>7.2386418388044368E-2</v>
      </c>
      <c r="CW179" s="37">
        <f ca="1">$CD179^2/$CF179^2</f>
        <v>0.38016803385898729</v>
      </c>
      <c r="CX179" s="37">
        <f ca="1">$CE179^2/$CF179^2</f>
        <v>0.54744196875694195</v>
      </c>
      <c r="CY179" s="37">
        <f ca="1">$CC179^2/$CF179^2</f>
        <v>3.5789960264205308E-6</v>
      </c>
      <c r="DA179" s="98" t="s">
        <v>214</v>
      </c>
      <c r="DB179" s="36">
        <f ca="1">OFFSET($A$1,ROW(DB179)-1,MATCH(DA179,$1:$1,0)-1)</f>
        <v>12</v>
      </c>
      <c r="DC179" s="9">
        <f ca="1">BB179</f>
        <v>0.2345403351955308</v>
      </c>
      <c r="DD179" s="9">
        <f ca="1">$DC179+$CA179</f>
        <v>0.28556851757369273</v>
      </c>
      <c r="DE179" s="9">
        <f ca="1">$DC179-$CA179</f>
        <v>0.18351215281736888</v>
      </c>
      <c r="DF179" s="10">
        <f t="shared" ca="1" si="87"/>
        <v>0.2175667666528272</v>
      </c>
    </row>
    <row r="180" spans="1:110" s="8" customFormat="1" ht="32.4" customHeight="1">
      <c r="A180" s="206" t="s">
        <v>616</v>
      </c>
      <c r="B180" s="208" t="s">
        <v>2344</v>
      </c>
      <c r="C180" s="206" t="str">
        <f t="shared" ref="C180:C264" si="143">E180&amp;" = "&amp;F180</f>
        <v>Parameter-Variation: Code_DataSources = DesignDataPlusQA</v>
      </c>
      <c r="D180" s="206"/>
      <c r="E180" s="206" t="s">
        <v>202</v>
      </c>
      <c r="F180" s="206" t="str">
        <f>L180</f>
        <v>DesignDataPlusQA</v>
      </c>
      <c r="G180" s="206" t="s">
        <v>2170</v>
      </c>
      <c r="H180" s="206" t="s">
        <v>2171</v>
      </c>
      <c r="I180" s="156" t="s">
        <v>80</v>
      </c>
      <c r="J180" s="156" t="s">
        <v>134</v>
      </c>
      <c r="K180" s="156" t="s">
        <v>155</v>
      </c>
      <c r="L180" s="156" t="s">
        <v>68</v>
      </c>
      <c r="M180" s="156" t="s">
        <v>188</v>
      </c>
      <c r="N180" s="7">
        <v>1960</v>
      </c>
      <c r="O180" s="156">
        <v>1</v>
      </c>
      <c r="P180" s="156">
        <v>0</v>
      </c>
      <c r="Q180" s="156" t="s">
        <v>435</v>
      </c>
      <c r="R180" s="156" t="s">
        <v>58</v>
      </c>
      <c r="S180" s="19">
        <v>12</v>
      </c>
      <c r="T180" s="19">
        <v>1</v>
      </c>
      <c r="U180" s="19">
        <v>2016</v>
      </c>
      <c r="V180" s="19" t="e">
        <v>#N/A</v>
      </c>
      <c r="W180" s="28" t="s">
        <v>59</v>
      </c>
      <c r="X180" s="19" t="e">
        <v>#N/A</v>
      </c>
      <c r="Y180" s="105">
        <f ca="1">IFERROR(OFFSET(Tab.Const.ConstrBorder!$A$1,MATCH(Q180,Tab.Const.ConstrBorder!$A:$A,0)-1,MATCH(Y$87,Tab.Const.ConstrBorder!$1:$1,0)-1),0)</f>
        <v>0</v>
      </c>
      <c r="Z180" s="18">
        <f t="shared" si="110"/>
        <v>1960</v>
      </c>
      <c r="AA180" s="17">
        <f>MATCH(Z180,Tab.Year.Period!$11:$11,1)-3</f>
        <v>5</v>
      </c>
      <c r="AB180" s="17">
        <f>MATCH(AB$88&amp;"."&amp;TEXT(AA180,"00"),Tab.U.Default!$A:$A,0)</f>
        <v>28</v>
      </c>
      <c r="AC180" s="105">
        <f ca="1">OFFSET(Tab.U.Default!$A$1,$AB180-1,MATCH("U_Class_"&amp;IF($J180="TopCeiling","UpperCeiling",$J180)&amp;"_"&amp;AC$87,Tab.U.Default!$1:$1,0)-1)</f>
        <v>1.2</v>
      </c>
      <c r="AD180" s="105">
        <f ca="1">OFFSET(Tab.U.Default!$A$1,$AB180-1,MATCH("U_Class_"&amp;IF($J180="TopCeiling","UpperCeiling",$J180)&amp;"_"&amp;AD$87,Tab.U.Default!$1:$1,0)-1)</f>
        <v>1.2</v>
      </c>
      <c r="AE180" s="105">
        <f ca="1">OFFSET(Tab.U.Default!$A$1,$AB180-1,MATCH("U_Class_"&amp;IF($J180="TopCeiling","UpperCeiling",$J180)&amp;"_"&amp;AE$87,Tab.U.Default!$1:$1,0)-1)</f>
        <v>0.8</v>
      </c>
      <c r="AF180" s="26">
        <f t="shared" ca="1" si="96"/>
        <v>1.2</v>
      </c>
      <c r="AG180" s="26">
        <f t="shared" ca="1" si="97"/>
        <v>1.2</v>
      </c>
      <c r="AH180" s="18" t="str">
        <f t="shared" si="124"/>
        <v>Refurbish</v>
      </c>
      <c r="AI180" s="18" t="str">
        <f t="shared" si="111"/>
        <v>Add</v>
      </c>
      <c r="AJ180" s="18">
        <f t="shared" si="98"/>
        <v>2016</v>
      </c>
      <c r="AK180" s="17">
        <f>MATCH(AJ180,Tab.Year.Period!$11:$11,1)-3</f>
        <v>12</v>
      </c>
      <c r="AL180" s="17">
        <f>MATCH(AL$88&amp;"."&amp;TEXT(AK180,"00"),Tab.Insulation.Default!$A:$A,0)</f>
        <v>23</v>
      </c>
      <c r="AM180" s="20" t="e">
        <f ca="1">IF(ISNA(IF(S180="",#N/A,S180)),OFFSET(Tab.Insulation.Default!$A$1,$AL180-1,MATCH(AM$87&amp;"_"&amp;$K180,Tab.Insulation.Default!$1:$1,0)-1),#N/A)</f>
        <v>#N/A</v>
      </c>
      <c r="AN180" s="27">
        <f t="shared" si="112"/>
        <v>12</v>
      </c>
      <c r="AO180" s="22">
        <f ca="1">IF(ISNA(IF(V180="",#N/A,V180)),OFFSET(Tab.Insulation.Default!$A$1,$AL180-1,MATCH(AO$87&amp;"_"&amp;$K180,Tab.Insulation.Default!$1:$1,0)-1),#N/A)</f>
        <v>3.5000000000000003E-2</v>
      </c>
      <c r="AP180" s="23">
        <f t="shared" ca="1" si="113"/>
        <v>3.5000000000000003E-2</v>
      </c>
      <c r="AQ180" s="29" t="str">
        <f t="shared" si="125"/>
        <v>Gen.Refurbished.12</v>
      </c>
      <c r="AR180" s="17">
        <f>MATCH(AR$88&amp;"."&amp;AQ180,Tab.Measure.f.Default!$A:$A,0)</f>
        <v>23</v>
      </c>
      <c r="AS180" s="21">
        <f ca="1">OFFSET(Tab.Measure.f.Default!$A$1,AR180-1,MATCH(AS$87&amp;"_"&amp;$J180,Tab.Measure.f.Default!$1:$1,0)-1)</f>
        <v>0.75</v>
      </c>
      <c r="AT180" s="29" t="str">
        <f t="shared" si="126"/>
        <v>MUH.NA.05</v>
      </c>
      <c r="AU180" s="17">
        <f>MATCH(AU$88&amp;"."&amp;AT180,Tab.Measure.f.Default!$A:$A,0)</f>
        <v>40</v>
      </c>
      <c r="AV180" s="21">
        <f ca="1">OFFSET(Tab.Measure.f.Default!$A$1,AU180-1,MATCH(AV$87&amp;"_"&amp;$J180,Tab.Measure.f.Default!$1:$1,0)-1)</f>
        <v>0.37</v>
      </c>
      <c r="AW180" s="30">
        <f t="shared" si="114"/>
        <v>1</v>
      </c>
      <c r="AX180" s="9">
        <f t="shared" ca="1" si="127"/>
        <v>0.83333333333333337</v>
      </c>
      <c r="AY180" s="9">
        <f t="shared" ca="1" si="128"/>
        <v>3.4285714285714279</v>
      </c>
      <c r="AZ180" s="9">
        <f t="shared" ref="AZ180:AZ264" ca="1" si="144">AX180+AY180</f>
        <v>4.261904761904761</v>
      </c>
      <c r="BA180" s="9">
        <f t="shared" ref="BA180:BA264" ca="1" si="145">1/AZ180</f>
        <v>0.23463687150837995</v>
      </c>
      <c r="BB180" s="9">
        <f t="shared" ca="1" si="129"/>
        <v>0.23463687150837995</v>
      </c>
      <c r="BC180" s="32" t="str">
        <f t="shared" si="130"/>
        <v>D</v>
      </c>
      <c r="BD180" s="20" t="str">
        <f ca="1">OFFSET(Tab.Uncertainty.Levels!$A$1,MATCH(BD$88,Tab.Uncertainty.Levels!$A:$A,0)-1,MATCH(BD$87&amp;"_"&amp;BC180,Tab.Uncertainty.Levels!$1:$1,0)-1)</f>
        <v>Use of default values; building constructed until 1983</v>
      </c>
      <c r="BE180" s="24">
        <f ca="1">OFFSET(Tab.Uncertainty.Levels!$A$1,MATCH(BE$88,Tab.Uncertainty.Levels!$A:$A,0)-1,MATCH(BE$87&amp;"_"&amp;BC180,Tab.Uncertainty.Levels!$1:$1,0)-1)</f>
        <v>0.3</v>
      </c>
      <c r="BF180" s="32" t="str">
        <f t="shared" si="131"/>
        <v>-</v>
      </c>
      <c r="BG180" s="20" t="e">
        <f ca="1">OFFSET(Tab.Uncertainty.Levels!$A$1,MATCH(BG$88,Tab.Uncertainty.Levels!$A:$A,0)-1,MATCH(BG$87&amp;"_"&amp;BF180,Tab.Uncertainty.Levels!$1:$1,0)-1)</f>
        <v>#N/A</v>
      </c>
      <c r="BH180" s="24" t="e">
        <f ca="1">OFFSET(Tab.Uncertainty.Levels!$A$1,MATCH(BH$88,Tab.Uncertainty.Levels!$A:$A,0)-1,MATCH(BH$87&amp;"_"&amp;BF180,Tab.Uncertainty.Levels!$1:$1,0)-1)</f>
        <v>#N/A</v>
      </c>
      <c r="BI180" s="32" t="str">
        <f t="shared" si="137"/>
        <v>D</v>
      </c>
      <c r="BJ180" s="13">
        <f ca="1">IF(BF180="-",BE180,BH180)</f>
        <v>0.3</v>
      </c>
      <c r="BK180" s="32" t="str">
        <f>IF(OR($L180="NoDataSource",IFERROR(IF($S180="",#N/A,$S180),0)=0),IF(IFERROR(IF(U180="",#N/A,U180),0)=0,"E","D"),IF($L180="DesignDataPlusQA","A",IF($L180="DesignData","B","C")))</f>
        <v>A</v>
      </c>
      <c r="BL180" s="20" t="str">
        <f ca="1">OFFSET(Tab.Uncertainty.Levels!$A$1,MATCH(BL$88,Tab.Uncertainty.Levels!$A:$A,0)-1,MATCH(BL$87&amp;"_"&amp;BK180,Tab.Uncertainty.Levels!$1:$1,0)-1)</f>
        <v>Insulation thickness from design data, quality assured</v>
      </c>
      <c r="BM180" s="24">
        <f ca="1">OFFSET(Tab.Uncertainty.Levels!$A$1,MATCH(BM$88,Tab.Uncertainty.Levels!$A:$A,0)-1,MATCH(BM$87&amp;"_"&amp;BK180,Tab.Uncertainty.Levels!$1:$1,0)-1)</f>
        <v>0.05</v>
      </c>
      <c r="BN180" s="34">
        <f ca="1">OFFSET(Tab.Uncertainty.Levels!$A$1,MATCH(BN$88,Tab.Uncertainty.Levels!$A:$A,0)-1,MATCH(BN$87&amp;"_"&amp;BK180,Tab.Uncertainty.Levels!$1:$1,0)-1)</f>
        <v>0.5</v>
      </c>
      <c r="BO180" s="13">
        <f ca="1">IFERROR(MIN(BM180,BN180/AN180),0)</f>
        <v>4.1666666666666664E-2</v>
      </c>
      <c r="BP180" s="32" t="str">
        <f>IF(OR($L180="NoDataSource",IFERROR(IF($V180="",#N/A,$V180),0)=0),IF(IFERROR(IF(U180="",#N/A,U180),0)=0,"E","D"),IF($L180="DesignDataPlusQA","A",IF($L180="DesignData","B","C")))</f>
        <v>D</v>
      </c>
      <c r="BQ180" s="20" t="str">
        <f ca="1">OFFSET(Tab.Uncertainty.Levels!$A$1,MATCH(BQ$88,Tab.Uncertainty.Levels!$A:$A,0)-1,MATCH(BQ$87&amp;"_"&amp;BP180,Tab.Uncertainty.Levels!$1:$1,0)-1)</f>
        <v>Insulation available; no information about material</v>
      </c>
      <c r="BR180" s="97">
        <f ca="1">OFFSET(Tab.Uncertainty.Levels!$A$1,MATCH(BR$88,Tab.Uncertainty.Levels!$A:$A,0)-1,MATCH(BR$87&amp;"_"&amp;BP180,Tab.Uncertainty.Levels!$1:$1,0)-1)</f>
        <v>0.2</v>
      </c>
      <c r="BS180" s="32" t="str">
        <f>IF(L180="NoDataSource","D",IF(IFERROR(IF($T180="",#N/A,$T180),0)=0,IF(OR(IFERROR(IF($S180="",#N/A,$S180),0)&gt;0,$R180="Refurbish"),"D","E"),IF($L180="DesignDataPlusQA","A",IF($L180="DesignData","B","C"))))</f>
        <v>A</v>
      </c>
      <c r="BT180" s="20" t="str">
        <f ca="1">OFFSET(Tab.Uncertainty.Levels!$A$1,MATCH(BT$88,Tab.Uncertainty.Levels!$A:$A,0)-1,MATCH(BT$87&amp;"_"&amp;BS180,Tab.Uncertainty.Levels!$1:$1,0)-1)</f>
        <v>Insulation fraction from design data, quality assured</v>
      </c>
      <c r="BU180" s="33">
        <f ca="1">OFFSET(Tab.Uncertainty.Levels!$A$1,MATCH(BU$88,Tab.Uncertainty.Levels!$A:$A,0)-1,MATCH(BU$87&amp;"_"&amp;BS180,Tab.Uncertainty.Levels!$1:$1,0)-1)</f>
        <v>0.05</v>
      </c>
      <c r="BV180" s="13">
        <f ca="1">IFERROR(MIN(BU180/AW180,1,(1-AW180)/AW180),0)</f>
        <v>0</v>
      </c>
      <c r="BW180" s="96">
        <f ca="1">ABS(1+(AW180*(1/(1+AN180/100/AP180*AG180)^2-1)))*BJ180*$AG180</f>
        <v>1.3763615367809984E-2</v>
      </c>
      <c r="BX180" s="96">
        <f ca="1">ABS(-AG180+1/(1/AG180+AN180/100/AP180))*BV180*AW180</f>
        <v>0</v>
      </c>
      <c r="BY180" s="96">
        <f ca="1">ABS(-AW180*AP180/((AP180/AG180+AN180/100)^2))*(BO180*AN180/100)</f>
        <v>7.8649230673199962E-3</v>
      </c>
      <c r="BZ180" s="202">
        <f ca="1">ABS(AW180*AN180/100/(1/AG180*AP180+AN180/100)^2)*(BR180*AP180)</f>
        <v>3.775163072313599E-2</v>
      </c>
      <c r="CA180" s="103">
        <f t="shared" ca="1" si="117"/>
        <v>4.0944837832184687E-2</v>
      </c>
      <c r="CB180" s="37">
        <f t="shared" ca="1" si="132"/>
        <v>5.8659217877094917E-2</v>
      </c>
      <c r="CC180" s="37">
        <f t="shared" ca="1" si="133"/>
        <v>0</v>
      </c>
      <c r="CD180" s="37">
        <f t="shared" ca="1" si="134"/>
        <v>3.3519553072625691E-2</v>
      </c>
      <c r="CE180" s="37">
        <f t="shared" ca="1" si="135"/>
        <v>0.16089385474860335</v>
      </c>
      <c r="CF180" s="13">
        <f t="shared" ca="1" si="136"/>
        <v>0.17450299933240612</v>
      </c>
      <c r="CG180" s="101">
        <f ca="1">AG180</f>
        <v>1.2</v>
      </c>
      <c r="CH180" s="101">
        <f>AW180</f>
        <v>1</v>
      </c>
      <c r="CI180" s="203">
        <f>IF(CH180&gt;0,AN180,0)</f>
        <v>12</v>
      </c>
      <c r="CJ180" s="102">
        <f ca="1">IF(AND(CH180&gt;0,CI180&gt;0),AP180,0)</f>
        <v>3.5000000000000003E-2</v>
      </c>
      <c r="CK180" s="102">
        <f ca="1">BB180</f>
        <v>0.23463687150837995</v>
      </c>
      <c r="CL180" s="37">
        <f t="shared" ca="1" si="99"/>
        <v>0.3</v>
      </c>
      <c r="CM180" s="37">
        <f t="shared" ca="1" si="100"/>
        <v>0</v>
      </c>
      <c r="CN180" s="37">
        <f t="shared" ca="1" si="101"/>
        <v>4.1666666666666664E-2</v>
      </c>
      <c r="CO180" s="37">
        <f t="shared" ca="1" si="102"/>
        <v>0.2</v>
      </c>
      <c r="CP180" s="37">
        <f t="shared" ca="1" si="103"/>
        <v>0.17450299933240612</v>
      </c>
      <c r="CQ180" s="95">
        <f t="shared" ca="1" si="104"/>
        <v>0.36</v>
      </c>
      <c r="CR180" s="95">
        <f t="shared" ca="1" si="105"/>
        <v>0</v>
      </c>
      <c r="CS180" s="95">
        <f t="shared" ca="1" si="106"/>
        <v>0.5</v>
      </c>
      <c r="CT180" s="103">
        <f t="shared" ca="1" si="107"/>
        <v>7.000000000000001E-3</v>
      </c>
      <c r="CU180" s="95">
        <f t="shared" ca="1" si="108"/>
        <v>4.0944837832184687E-2</v>
      </c>
      <c r="CV180" s="37">
        <f ca="1">$CB180^2/$CF180^2</f>
        <v>0.1129969560003688</v>
      </c>
      <c r="CW180" s="37">
        <f ca="1">$CD180^2/$CF180^2</f>
        <v>3.6896965224610272E-2</v>
      </c>
      <c r="CX180" s="37">
        <f ca="1">$CE180^2/$CF180^2</f>
        <v>0.85010607877502098</v>
      </c>
      <c r="CY180" s="37">
        <f ca="1">$CC180^2/$CF180^2</f>
        <v>0</v>
      </c>
      <c r="DA180" s="98" t="s">
        <v>214</v>
      </c>
      <c r="DB180" s="36">
        <f ca="1">OFFSET($A$1,ROW(DB180)-1,MATCH(DA180,$1:$1,0)-1)</f>
        <v>12</v>
      </c>
      <c r="DC180" s="9">
        <f ca="1">BB180</f>
        <v>0.23463687150837995</v>
      </c>
      <c r="DD180" s="9">
        <f ca="1">$DC180+$CA180</f>
        <v>0.27558170934056464</v>
      </c>
      <c r="DE180" s="9">
        <f ca="1">$DC180-$CA180</f>
        <v>0.19369203367619525</v>
      </c>
      <c r="DF180" s="10">
        <f t="shared" ca="1" si="87"/>
        <v>0.17450299933240615</v>
      </c>
    </row>
    <row r="181" spans="1:110" s="8" customFormat="1" ht="32.4" customHeight="1">
      <c r="A181" s="206" t="s">
        <v>617</v>
      </c>
      <c r="B181" s="208" t="s">
        <v>2344</v>
      </c>
      <c r="C181" s="206" t="str">
        <f t="shared" ref="C181" si="146">E181&amp;" = "&amp;F181</f>
        <v>Parameter-Variation: Code_DataSources = DesignData</v>
      </c>
      <c r="D181" s="206"/>
      <c r="E181" s="206" t="s">
        <v>202</v>
      </c>
      <c r="F181" s="206" t="str">
        <f t="shared" ref="F181" si="147">L181</f>
        <v>DesignData</v>
      </c>
      <c r="G181" s="206" t="s">
        <v>2170</v>
      </c>
      <c r="H181" s="206" t="s">
        <v>2171</v>
      </c>
      <c r="I181" s="156" t="s">
        <v>80</v>
      </c>
      <c r="J181" s="156" t="s">
        <v>134</v>
      </c>
      <c r="K181" s="156" t="s">
        <v>155</v>
      </c>
      <c r="L181" s="156" t="s">
        <v>67</v>
      </c>
      <c r="M181" s="156" t="s">
        <v>188</v>
      </c>
      <c r="N181" s="7">
        <v>1960</v>
      </c>
      <c r="O181" s="156">
        <v>1</v>
      </c>
      <c r="P181" s="156">
        <v>0</v>
      </c>
      <c r="Q181" s="156" t="s">
        <v>435</v>
      </c>
      <c r="R181" s="156" t="s">
        <v>58</v>
      </c>
      <c r="S181" s="19">
        <v>12</v>
      </c>
      <c r="T181" s="19">
        <v>1</v>
      </c>
      <c r="U181" s="19">
        <v>2016</v>
      </c>
      <c r="V181" s="19" t="e">
        <v>#N/A</v>
      </c>
      <c r="W181" s="28" t="s">
        <v>59</v>
      </c>
      <c r="X181" s="19" t="e">
        <v>#N/A</v>
      </c>
      <c r="Y181" s="105">
        <f ca="1">IFERROR(OFFSET(Tab.Const.ConstrBorder!$A$1,MATCH(Q181,Tab.Const.ConstrBorder!$A:$A,0)-1,MATCH(Y$87,Tab.Const.ConstrBorder!$1:$1,0)-1),0)</f>
        <v>0</v>
      </c>
      <c r="Z181" s="18">
        <f t="shared" si="110"/>
        <v>1960</v>
      </c>
      <c r="AA181" s="17">
        <f>MATCH(Z181,Tab.Year.Period!$11:$11,1)-3</f>
        <v>5</v>
      </c>
      <c r="AB181" s="17">
        <f>MATCH(AB$88&amp;"."&amp;TEXT(AA181,"00"),Tab.U.Default!$A:$A,0)</f>
        <v>28</v>
      </c>
      <c r="AC181" s="105">
        <f ca="1">OFFSET(Tab.U.Default!$A$1,$AB181-1,MATCH("U_Class_"&amp;IF($J181="TopCeiling","UpperCeiling",$J181)&amp;"_"&amp;AC$87,Tab.U.Default!$1:$1,0)-1)</f>
        <v>1.2</v>
      </c>
      <c r="AD181" s="105">
        <f ca="1">OFFSET(Tab.U.Default!$A$1,$AB181-1,MATCH("U_Class_"&amp;IF($J181="TopCeiling","UpperCeiling",$J181)&amp;"_"&amp;AD$87,Tab.U.Default!$1:$1,0)-1)</f>
        <v>1.2</v>
      </c>
      <c r="AE181" s="105">
        <f ca="1">OFFSET(Tab.U.Default!$A$1,$AB181-1,MATCH("U_Class_"&amp;IF($J181="TopCeiling","UpperCeiling",$J181)&amp;"_"&amp;AE$87,Tab.U.Default!$1:$1,0)-1)</f>
        <v>0.8</v>
      </c>
      <c r="AF181" s="26">
        <f t="shared" ca="1" si="96"/>
        <v>1.2</v>
      </c>
      <c r="AG181" s="26">
        <f t="shared" ca="1" si="97"/>
        <v>1.2</v>
      </c>
      <c r="AH181" s="18" t="str">
        <f t="shared" si="124"/>
        <v>Refurbish</v>
      </c>
      <c r="AI181" s="18" t="str">
        <f t="shared" si="111"/>
        <v>Add</v>
      </c>
      <c r="AJ181" s="18">
        <f t="shared" si="98"/>
        <v>2016</v>
      </c>
      <c r="AK181" s="17">
        <f>MATCH(AJ181,Tab.Year.Period!$11:$11,1)-3</f>
        <v>12</v>
      </c>
      <c r="AL181" s="17">
        <f>MATCH(AL$88&amp;"."&amp;TEXT(AK181,"00"),Tab.Insulation.Default!$A:$A,0)</f>
        <v>23</v>
      </c>
      <c r="AM181" s="20" t="e">
        <f ca="1">IF(ISNA(IF(S181="",#N/A,S181)),OFFSET(Tab.Insulation.Default!$A$1,$AL181-1,MATCH(AM$87&amp;"_"&amp;$K181,Tab.Insulation.Default!$1:$1,0)-1),#N/A)</f>
        <v>#N/A</v>
      </c>
      <c r="AN181" s="27">
        <f t="shared" si="112"/>
        <v>12</v>
      </c>
      <c r="AO181" s="22">
        <f ca="1">IF(ISNA(IF(V181="",#N/A,V181)),OFFSET(Tab.Insulation.Default!$A$1,$AL181-1,MATCH(AO$87&amp;"_"&amp;$K181,Tab.Insulation.Default!$1:$1,0)-1),#N/A)</f>
        <v>3.5000000000000003E-2</v>
      </c>
      <c r="AP181" s="23">
        <f t="shared" ca="1" si="113"/>
        <v>3.5000000000000003E-2</v>
      </c>
      <c r="AQ181" s="29" t="str">
        <f t="shared" si="125"/>
        <v>Gen.Refurbished.12</v>
      </c>
      <c r="AR181" s="17">
        <f>MATCH(AR$88&amp;"."&amp;AQ181,Tab.Measure.f.Default!$A:$A,0)</f>
        <v>23</v>
      </c>
      <c r="AS181" s="21">
        <f ca="1">OFFSET(Tab.Measure.f.Default!$A$1,AR181-1,MATCH(AS$87&amp;"_"&amp;$J181,Tab.Measure.f.Default!$1:$1,0)-1)</f>
        <v>0.75</v>
      </c>
      <c r="AT181" s="29" t="str">
        <f t="shared" si="126"/>
        <v>MUH.NA.05</v>
      </c>
      <c r="AU181" s="17">
        <f>MATCH(AU$88&amp;"."&amp;AT181,Tab.Measure.f.Default!$A:$A,0)</f>
        <v>40</v>
      </c>
      <c r="AV181" s="21">
        <f ca="1">OFFSET(Tab.Measure.f.Default!$A$1,AU181-1,MATCH(AV$87&amp;"_"&amp;$J181,Tab.Measure.f.Default!$1:$1,0)-1)</f>
        <v>0.37</v>
      </c>
      <c r="AW181" s="30">
        <f t="shared" si="114"/>
        <v>1</v>
      </c>
      <c r="AX181" s="9">
        <f t="shared" ca="1" si="127"/>
        <v>0.83333333333333337</v>
      </c>
      <c r="AY181" s="9">
        <f t="shared" ca="1" si="128"/>
        <v>3.4285714285714279</v>
      </c>
      <c r="AZ181" s="9">
        <f t="shared" ref="AZ181" ca="1" si="148">AX181+AY181</f>
        <v>4.261904761904761</v>
      </c>
      <c r="BA181" s="9">
        <f t="shared" ref="BA181" ca="1" si="149">1/AZ181</f>
        <v>0.23463687150837995</v>
      </c>
      <c r="BB181" s="9">
        <f t="shared" ca="1" si="129"/>
        <v>0.23463687150837995</v>
      </c>
      <c r="BC181" s="32" t="str">
        <f t="shared" si="130"/>
        <v>D</v>
      </c>
      <c r="BD181" s="20" t="str">
        <f ca="1">OFFSET(Tab.Uncertainty.Levels!$A$1,MATCH(BD$88,Tab.Uncertainty.Levels!$A:$A,0)-1,MATCH(BD$87&amp;"_"&amp;BC181,Tab.Uncertainty.Levels!$1:$1,0)-1)</f>
        <v>Use of default values; building constructed until 1983</v>
      </c>
      <c r="BE181" s="24">
        <f ca="1">OFFSET(Tab.Uncertainty.Levels!$A$1,MATCH(BE$88,Tab.Uncertainty.Levels!$A:$A,0)-1,MATCH(BE$87&amp;"_"&amp;BC181,Tab.Uncertainty.Levels!$1:$1,0)-1)</f>
        <v>0.3</v>
      </c>
      <c r="BF181" s="32" t="str">
        <f t="shared" si="131"/>
        <v>-</v>
      </c>
      <c r="BG181" s="20" t="e">
        <f ca="1">OFFSET(Tab.Uncertainty.Levels!$A$1,MATCH(BG$88,Tab.Uncertainty.Levels!$A:$A,0)-1,MATCH(BG$87&amp;"_"&amp;BF181,Tab.Uncertainty.Levels!$1:$1,0)-1)</f>
        <v>#N/A</v>
      </c>
      <c r="BH181" s="24" t="e">
        <f ca="1">OFFSET(Tab.Uncertainty.Levels!$A$1,MATCH(BH$88,Tab.Uncertainty.Levels!$A:$A,0)-1,MATCH(BH$87&amp;"_"&amp;BF181,Tab.Uncertainty.Levels!$1:$1,0)-1)</f>
        <v>#N/A</v>
      </c>
      <c r="BI181" s="32" t="str">
        <f t="shared" si="137"/>
        <v>D</v>
      </c>
      <c r="BJ181" s="13">
        <f ca="1">IF(BF181="-",BE181,BH181)</f>
        <v>0.3</v>
      </c>
      <c r="BK181" s="32" t="str">
        <f>IF(OR($L181="NoDataSource",IFERROR(IF($S181="",#N/A,$S181),0)=0),IF(IFERROR(IF(U181="",#N/A,U181),0)=0,"E","D"),IF($L181="DesignDataPlusQA","A",IF($L181="DesignData","B","C")))</f>
        <v>B</v>
      </c>
      <c r="BL181" s="20" t="str">
        <f ca="1">OFFSET(Tab.Uncertainty.Levels!$A$1,MATCH(BL$88,Tab.Uncertainty.Levels!$A:$A,0)-1,MATCH(BL$87&amp;"_"&amp;BK181,Tab.Uncertainty.Levels!$1:$1,0)-1)</f>
        <v>Insulation thickness from design data</v>
      </c>
      <c r="BM181" s="24">
        <f ca="1">OFFSET(Tab.Uncertainty.Levels!$A$1,MATCH(BM$88,Tab.Uncertainty.Levels!$A:$A,0)-1,MATCH(BM$87&amp;"_"&amp;BK181,Tab.Uncertainty.Levels!$1:$1,0)-1)</f>
        <v>0.1</v>
      </c>
      <c r="BN181" s="34">
        <f ca="1">OFFSET(Tab.Uncertainty.Levels!$A$1,MATCH(BN$88,Tab.Uncertainty.Levels!$A:$A,0)-1,MATCH(BN$87&amp;"_"&amp;BK181,Tab.Uncertainty.Levels!$1:$1,0)-1)</f>
        <v>1</v>
      </c>
      <c r="BO181" s="13">
        <f ca="1">IFERROR(MIN(BM181,BN181/AN181),0)</f>
        <v>8.3333333333333329E-2</v>
      </c>
      <c r="BP181" s="32" t="str">
        <f>IF(OR($L181="NoDataSource",IFERROR(IF($V181="",#N/A,$V181),0)=0),IF(IFERROR(IF(U181="",#N/A,U181),0)=0,"E","D"),IF($L181="DesignDataPlusQA","A",IF($L181="DesignData","B","C")))</f>
        <v>D</v>
      </c>
      <c r="BQ181" s="20" t="str">
        <f ca="1">OFFSET(Tab.Uncertainty.Levels!$A$1,MATCH(BQ$88,Tab.Uncertainty.Levels!$A:$A,0)-1,MATCH(BQ$87&amp;"_"&amp;BP181,Tab.Uncertainty.Levels!$1:$1,0)-1)</f>
        <v>Insulation available; no information about material</v>
      </c>
      <c r="BR181" s="97">
        <f ca="1">OFFSET(Tab.Uncertainty.Levels!$A$1,MATCH(BR$88,Tab.Uncertainty.Levels!$A:$A,0)-1,MATCH(BR$87&amp;"_"&amp;BP181,Tab.Uncertainty.Levels!$1:$1,0)-1)</f>
        <v>0.2</v>
      </c>
      <c r="BS181" s="32" t="str">
        <f>IF(L181="NoDataSource","D",IF(IFERROR(IF($T181="",#N/A,$T181),0)=0,IF(OR(IFERROR(IF($S181="",#N/A,$S181),0)&gt;0,$R181="Refurbish"),"D","E"),IF($L181="DesignDataPlusQA","A",IF($L181="DesignData","B","C"))))</f>
        <v>B</v>
      </c>
      <c r="BT181" s="20" t="str">
        <f ca="1">OFFSET(Tab.Uncertainty.Levels!$A$1,MATCH(BT$88,Tab.Uncertainty.Levels!$A:$A,0)-1,MATCH(BT$87&amp;"_"&amp;BS181,Tab.Uncertainty.Levels!$1:$1,0)-1)</f>
        <v>Insulation fraction from design data</v>
      </c>
      <c r="BU181" s="33">
        <f ca="1">OFFSET(Tab.Uncertainty.Levels!$A$1,MATCH(BU$88,Tab.Uncertainty.Levels!$A:$A,0)-1,MATCH(BU$87&amp;"_"&amp;BS181,Tab.Uncertainty.Levels!$1:$1,0)-1)</f>
        <v>0.1</v>
      </c>
      <c r="BV181" s="13">
        <f ca="1">IFERROR(MIN(BU181/AW181,1,(1-AW181)/AW181),0)</f>
        <v>0</v>
      </c>
      <c r="BW181" s="96">
        <f ca="1">ABS(1+(AW181*(1/(1+AN181/100/AP181*AG181)^2-1)))*BJ181*$AG181</f>
        <v>1.3763615367809984E-2</v>
      </c>
      <c r="BX181" s="96">
        <f ca="1">ABS(-AG181+1/(1/AG181+AN181/100/AP181))*BV181*AW181</f>
        <v>0</v>
      </c>
      <c r="BY181" s="96">
        <f ca="1">ABS(-AW181*AP181/((AP181/AG181+AN181/100)^2))*(BO181*AN181/100)</f>
        <v>1.5729846134639992E-2</v>
      </c>
      <c r="BZ181" s="202">
        <f ca="1">ABS(AW181*AN181/100/(1/AG181*AP181+AN181/100)^2)*(BR181*AP181)</f>
        <v>3.775163072313599E-2</v>
      </c>
      <c r="CA181" s="103">
        <f t="shared" ca="1" si="117"/>
        <v>4.3151486529069763E-2</v>
      </c>
      <c r="CB181" s="37">
        <f t="shared" ca="1" si="132"/>
        <v>5.8659217877094917E-2</v>
      </c>
      <c r="CC181" s="37">
        <f t="shared" ca="1" si="133"/>
        <v>0</v>
      </c>
      <c r="CD181" s="37">
        <f t="shared" ca="1" si="134"/>
        <v>6.7039106145251381E-2</v>
      </c>
      <c r="CE181" s="37">
        <f t="shared" ca="1" si="135"/>
        <v>0.16089385474860335</v>
      </c>
      <c r="CF181" s="13">
        <f t="shared" ca="1" si="136"/>
        <v>0.18390752592151155</v>
      </c>
      <c r="CG181" s="101">
        <f ca="1">AG181</f>
        <v>1.2</v>
      </c>
      <c r="CH181" s="101">
        <f>AW181</f>
        <v>1</v>
      </c>
      <c r="CI181" s="203">
        <f>IF(CH181&gt;0,AN181,0)</f>
        <v>12</v>
      </c>
      <c r="CJ181" s="102">
        <f ca="1">IF(AND(CH181&gt;0,CI181&gt;0),AP181,0)</f>
        <v>3.5000000000000003E-2</v>
      </c>
      <c r="CK181" s="102">
        <f ca="1">BB181</f>
        <v>0.23463687150837995</v>
      </c>
      <c r="CL181" s="37">
        <f t="shared" ca="1" si="99"/>
        <v>0.3</v>
      </c>
      <c r="CM181" s="37">
        <f t="shared" ca="1" si="100"/>
        <v>0</v>
      </c>
      <c r="CN181" s="37">
        <f t="shared" ca="1" si="101"/>
        <v>8.3333333333333329E-2</v>
      </c>
      <c r="CO181" s="37">
        <f t="shared" ca="1" si="102"/>
        <v>0.2</v>
      </c>
      <c r="CP181" s="37">
        <f t="shared" ca="1" si="103"/>
        <v>0.18390752592151155</v>
      </c>
      <c r="CQ181" s="95">
        <f t="shared" ca="1" si="104"/>
        <v>0.36</v>
      </c>
      <c r="CR181" s="95">
        <f t="shared" ca="1" si="105"/>
        <v>0</v>
      </c>
      <c r="CS181" s="95">
        <f t="shared" ca="1" si="106"/>
        <v>1</v>
      </c>
      <c r="CT181" s="103">
        <f t="shared" ca="1" si="107"/>
        <v>7.000000000000001E-3</v>
      </c>
      <c r="CU181" s="95">
        <f t="shared" ca="1" si="108"/>
        <v>4.3151486529069763E-2</v>
      </c>
      <c r="CV181" s="37">
        <f ca="1">$CB181^2/$CF181^2</f>
        <v>0.10173573623453187</v>
      </c>
      <c r="CW181" s="37">
        <f ca="1">$CD181^2/$CF181^2</f>
        <v>0.13287932895938873</v>
      </c>
      <c r="CX181" s="37">
        <f ca="1">$CE181^2/$CF181^2</f>
        <v>0.7653849348060795</v>
      </c>
      <c r="CY181" s="37">
        <f ca="1">$CC181^2/$CF181^2</f>
        <v>0</v>
      </c>
      <c r="DA181" s="98" t="s">
        <v>214</v>
      </c>
      <c r="DB181" s="36">
        <f ca="1">OFFSET($A$1,ROW(DB181)-1,MATCH(DA181,$1:$1,0)-1)</f>
        <v>12</v>
      </c>
      <c r="DC181" s="9">
        <f ca="1">BB181</f>
        <v>0.23463687150837995</v>
      </c>
      <c r="DD181" s="9">
        <f ca="1">$DC181+$CA181</f>
        <v>0.27778835803744972</v>
      </c>
      <c r="DE181" s="9">
        <f ca="1">$DC181-$CA181</f>
        <v>0.19148538497931017</v>
      </c>
      <c r="DF181" s="10">
        <f t="shared" ca="1" si="87"/>
        <v>0.18390752592151163</v>
      </c>
    </row>
    <row r="182" spans="1:110" s="8" customFormat="1" ht="32.4" customHeight="1">
      <c r="A182" s="206" t="s">
        <v>618</v>
      </c>
      <c r="B182" s="208" t="s">
        <v>2344</v>
      </c>
      <c r="C182" s="206" t="str">
        <f t="shared" si="143"/>
        <v>Parameter-Variation: Code_DataSources = InspectionOnsite</v>
      </c>
      <c r="D182" s="206"/>
      <c r="E182" s="206" t="s">
        <v>202</v>
      </c>
      <c r="F182" s="206" t="str">
        <f t="shared" ref="F182:F264" si="150">L182</f>
        <v>InspectionOnsite</v>
      </c>
      <c r="G182" s="206" t="s">
        <v>2170</v>
      </c>
      <c r="H182" s="206" t="s">
        <v>2171</v>
      </c>
      <c r="I182" s="156" t="s">
        <v>80</v>
      </c>
      <c r="J182" s="156" t="s">
        <v>134</v>
      </c>
      <c r="K182" s="156" t="s">
        <v>155</v>
      </c>
      <c r="L182" s="156" t="s">
        <v>66</v>
      </c>
      <c r="M182" s="156" t="s">
        <v>188</v>
      </c>
      <c r="N182" s="7">
        <v>1960</v>
      </c>
      <c r="O182" s="156">
        <v>1</v>
      </c>
      <c r="P182" s="156">
        <v>0</v>
      </c>
      <c r="Q182" s="156" t="s">
        <v>435</v>
      </c>
      <c r="R182" s="156" t="s">
        <v>58</v>
      </c>
      <c r="S182" s="19">
        <v>12</v>
      </c>
      <c r="T182" s="19">
        <v>1</v>
      </c>
      <c r="U182" s="19">
        <v>2016</v>
      </c>
      <c r="V182" s="19" t="e">
        <v>#N/A</v>
      </c>
      <c r="W182" s="28" t="s">
        <v>59</v>
      </c>
      <c r="X182" s="19" t="e">
        <v>#N/A</v>
      </c>
      <c r="Y182" s="105">
        <f ca="1">IFERROR(OFFSET(Tab.Const.ConstrBorder!$A$1,MATCH(Q182,Tab.Const.ConstrBorder!$A:$A,0)-1,MATCH(Y$87,Tab.Const.ConstrBorder!$1:$1,0)-1),0)</f>
        <v>0</v>
      </c>
      <c r="Z182" s="18">
        <f t="shared" si="110"/>
        <v>1960</v>
      </c>
      <c r="AA182" s="17">
        <f>MATCH(Z182,Tab.Year.Period!$11:$11,1)-3</f>
        <v>5</v>
      </c>
      <c r="AB182" s="17">
        <f>MATCH(AB$88&amp;"."&amp;TEXT(AA182,"00"),Tab.U.Default!$A:$A,0)</f>
        <v>28</v>
      </c>
      <c r="AC182" s="105">
        <f ca="1">OFFSET(Tab.U.Default!$A$1,$AB182-1,MATCH("U_Class_"&amp;IF($J182="TopCeiling","UpperCeiling",$J182)&amp;"_"&amp;AC$87,Tab.U.Default!$1:$1,0)-1)</f>
        <v>1.2</v>
      </c>
      <c r="AD182" s="105">
        <f ca="1">OFFSET(Tab.U.Default!$A$1,$AB182-1,MATCH("U_Class_"&amp;IF($J182="TopCeiling","UpperCeiling",$J182)&amp;"_"&amp;AD$87,Tab.U.Default!$1:$1,0)-1)</f>
        <v>1.2</v>
      </c>
      <c r="AE182" s="105">
        <f ca="1">OFFSET(Tab.U.Default!$A$1,$AB182-1,MATCH("U_Class_"&amp;IF($J182="TopCeiling","UpperCeiling",$J182)&amp;"_"&amp;AE$87,Tab.U.Default!$1:$1,0)-1)</f>
        <v>0.8</v>
      </c>
      <c r="AF182" s="26">
        <f t="shared" ca="1" si="96"/>
        <v>1.2</v>
      </c>
      <c r="AG182" s="26">
        <f t="shared" ca="1" si="97"/>
        <v>1.2</v>
      </c>
      <c r="AH182" s="18" t="str">
        <f t="shared" si="124"/>
        <v>Refurbish</v>
      </c>
      <c r="AI182" s="18" t="str">
        <f t="shared" si="111"/>
        <v>Add</v>
      </c>
      <c r="AJ182" s="18">
        <f t="shared" si="98"/>
        <v>2016</v>
      </c>
      <c r="AK182" s="17">
        <f>MATCH(AJ182,Tab.Year.Period!$11:$11,1)-3</f>
        <v>12</v>
      </c>
      <c r="AL182" s="17">
        <f>MATCH(AL$88&amp;"."&amp;TEXT(AK182,"00"),Tab.Insulation.Default!$A:$A,0)</f>
        <v>23</v>
      </c>
      <c r="AM182" s="20" t="e">
        <f ca="1">IF(ISNA(IF(S182="",#N/A,S182)),OFFSET(Tab.Insulation.Default!$A$1,$AL182-1,MATCH(AM$87&amp;"_"&amp;$K182,Tab.Insulation.Default!$1:$1,0)-1),#N/A)</f>
        <v>#N/A</v>
      </c>
      <c r="AN182" s="27">
        <f t="shared" si="112"/>
        <v>12</v>
      </c>
      <c r="AO182" s="22">
        <f ca="1">IF(ISNA(IF(V182="",#N/A,V182)),OFFSET(Tab.Insulation.Default!$A$1,$AL182-1,MATCH(AO$87&amp;"_"&amp;$K182,Tab.Insulation.Default!$1:$1,0)-1),#N/A)</f>
        <v>3.5000000000000003E-2</v>
      </c>
      <c r="AP182" s="23">
        <f t="shared" ca="1" si="113"/>
        <v>3.5000000000000003E-2</v>
      </c>
      <c r="AQ182" s="29" t="str">
        <f t="shared" si="125"/>
        <v>Gen.Refurbished.12</v>
      </c>
      <c r="AR182" s="17">
        <f>MATCH(AR$88&amp;"."&amp;AQ182,Tab.Measure.f.Default!$A:$A,0)</f>
        <v>23</v>
      </c>
      <c r="AS182" s="21">
        <f ca="1">OFFSET(Tab.Measure.f.Default!$A$1,AR182-1,MATCH(AS$87&amp;"_"&amp;$J182,Tab.Measure.f.Default!$1:$1,0)-1)</f>
        <v>0.75</v>
      </c>
      <c r="AT182" s="29" t="str">
        <f t="shared" si="126"/>
        <v>MUH.NA.05</v>
      </c>
      <c r="AU182" s="17">
        <f>MATCH(AU$88&amp;"."&amp;AT182,Tab.Measure.f.Default!$A:$A,0)</f>
        <v>40</v>
      </c>
      <c r="AV182" s="21">
        <f ca="1">OFFSET(Tab.Measure.f.Default!$A$1,AU182-1,MATCH(AV$87&amp;"_"&amp;$J182,Tab.Measure.f.Default!$1:$1,0)-1)</f>
        <v>0.37</v>
      </c>
      <c r="AW182" s="30">
        <f t="shared" si="114"/>
        <v>1</v>
      </c>
      <c r="AX182" s="9">
        <f t="shared" ca="1" si="127"/>
        <v>0.83333333333333337</v>
      </c>
      <c r="AY182" s="9">
        <f t="shared" ca="1" si="128"/>
        <v>3.4285714285714279</v>
      </c>
      <c r="AZ182" s="9">
        <f t="shared" ca="1" si="144"/>
        <v>4.261904761904761</v>
      </c>
      <c r="BA182" s="9">
        <f t="shared" ca="1" si="145"/>
        <v>0.23463687150837995</v>
      </c>
      <c r="BB182" s="9">
        <f t="shared" ca="1" si="129"/>
        <v>0.23463687150837995</v>
      </c>
      <c r="BC182" s="32" t="str">
        <f t="shared" si="130"/>
        <v>D</v>
      </c>
      <c r="BD182" s="20" t="str">
        <f ca="1">OFFSET(Tab.Uncertainty.Levels!$A$1,MATCH(BD$88,Tab.Uncertainty.Levels!$A:$A,0)-1,MATCH(BD$87&amp;"_"&amp;BC182,Tab.Uncertainty.Levels!$1:$1,0)-1)</f>
        <v>Use of default values; building constructed until 1983</v>
      </c>
      <c r="BE182" s="24">
        <f ca="1">OFFSET(Tab.Uncertainty.Levels!$A$1,MATCH(BE$88,Tab.Uncertainty.Levels!$A:$A,0)-1,MATCH(BE$87&amp;"_"&amp;BC182,Tab.Uncertainty.Levels!$1:$1,0)-1)</f>
        <v>0.3</v>
      </c>
      <c r="BF182" s="32" t="str">
        <f t="shared" si="131"/>
        <v>-</v>
      </c>
      <c r="BG182" s="20" t="e">
        <f ca="1">OFFSET(Tab.Uncertainty.Levels!$A$1,MATCH(BG$88,Tab.Uncertainty.Levels!$A:$A,0)-1,MATCH(BG$87&amp;"_"&amp;BF182,Tab.Uncertainty.Levels!$1:$1,0)-1)</f>
        <v>#N/A</v>
      </c>
      <c r="BH182" s="24" t="e">
        <f ca="1">OFFSET(Tab.Uncertainty.Levels!$A$1,MATCH(BH$88,Tab.Uncertainty.Levels!$A:$A,0)-1,MATCH(BH$87&amp;"_"&amp;BF182,Tab.Uncertainty.Levels!$1:$1,0)-1)</f>
        <v>#N/A</v>
      </c>
      <c r="BI182" s="32" t="str">
        <f t="shared" si="137"/>
        <v>D</v>
      </c>
      <c r="BJ182" s="13">
        <f ca="1">IF(BF182="-",BE182,BH182)</f>
        <v>0.3</v>
      </c>
      <c r="BK182" s="32" t="str">
        <f>IF(OR($L182="NoDataSource",IFERROR(IF($S182="",#N/A,$S182),0)=0),IF(IFERROR(IF(U182="",#N/A,U182),0)=0,"E","D"),IF($L182="DesignDataPlusQA","A",IF($L182="DesignData","B","C")))</f>
        <v>C</v>
      </c>
      <c r="BL182" s="20" t="str">
        <f ca="1">OFFSET(Tab.Uncertainty.Levels!$A$1,MATCH(BL$88,Tab.Uncertainty.Levels!$A:$A,0)-1,MATCH(BL$87&amp;"_"&amp;BK182,Tab.Uncertainty.Levels!$1:$1,0)-1)</f>
        <v>Insulation thickness determined by inspection onsite / record or statement of owner</v>
      </c>
      <c r="BM182" s="24">
        <f ca="1">OFFSET(Tab.Uncertainty.Levels!$A$1,MATCH(BM$88,Tab.Uncertainty.Levels!$A:$A,0)-1,MATCH(BM$87&amp;"_"&amp;BK182,Tab.Uncertainty.Levels!$1:$1,0)-1)</f>
        <v>0.25</v>
      </c>
      <c r="BN182" s="34">
        <f ca="1">OFFSET(Tab.Uncertainty.Levels!$A$1,MATCH(BN$88,Tab.Uncertainty.Levels!$A:$A,0)-1,MATCH(BN$87&amp;"_"&amp;BK182,Tab.Uncertainty.Levels!$1:$1,0)-1)</f>
        <v>2</v>
      </c>
      <c r="BO182" s="13">
        <f ca="1">IFERROR(MIN(BM182,BN182/AN182),0)</f>
        <v>0.16666666666666666</v>
      </c>
      <c r="BP182" s="32" t="str">
        <f>IF(OR($L182="NoDataSource",IFERROR(IF($V182="",#N/A,$V182),0)=0),IF(IFERROR(IF(U182="",#N/A,U182),0)=0,"E","D"),IF($L182="DesignDataPlusQA","A",IF($L182="DesignData","B","C")))</f>
        <v>D</v>
      </c>
      <c r="BQ182" s="20" t="str">
        <f ca="1">OFFSET(Tab.Uncertainty.Levels!$A$1,MATCH(BQ$88,Tab.Uncertainty.Levels!$A:$A,0)-1,MATCH(BQ$87&amp;"_"&amp;BP182,Tab.Uncertainty.Levels!$1:$1,0)-1)</f>
        <v>Insulation available; no information about material</v>
      </c>
      <c r="BR182" s="97">
        <f ca="1">OFFSET(Tab.Uncertainty.Levels!$A$1,MATCH(BR$88,Tab.Uncertainty.Levels!$A:$A,0)-1,MATCH(BR$87&amp;"_"&amp;BP182,Tab.Uncertainty.Levels!$1:$1,0)-1)</f>
        <v>0.2</v>
      </c>
      <c r="BS182" s="32" t="str">
        <f>IF(L182="NoDataSource","D",IF(IFERROR(IF($T182="",#N/A,$T182),0)=0,IF(OR(IFERROR(IF($S182="",#N/A,$S182),0)&gt;0,$R182="Refurbish"),"D","E"),IF($L182="DesignDataPlusQA","A",IF($L182="DesignData","B","C"))))</f>
        <v>C</v>
      </c>
      <c r="BT182" s="20" t="str">
        <f ca="1">OFFSET(Tab.Uncertainty.Levels!$A$1,MATCH(BT$88,Tab.Uncertainty.Levels!$A:$A,0)-1,MATCH(BT$87&amp;"_"&amp;BS182,Tab.Uncertainty.Levels!$1:$1,0)-1)</f>
        <v>Insulation fraction determined by inspection onsite / record or statement of owner</v>
      </c>
      <c r="BU182" s="33">
        <f ca="1">OFFSET(Tab.Uncertainty.Levels!$A$1,MATCH(BU$88,Tab.Uncertainty.Levels!$A:$A,0)-1,MATCH(BU$87&amp;"_"&amp;BS182,Tab.Uncertainty.Levels!$1:$1,0)-1)</f>
        <v>0.2</v>
      </c>
      <c r="BV182" s="13">
        <f ca="1">IFERROR(MIN(BU182/AW182,1,(1-AW182)/AW182),0)</f>
        <v>0</v>
      </c>
      <c r="BW182" s="96">
        <f ca="1">ABS(1+(AW182*(1/(1+AN182/100/AP182*AG182)^2-1)))*BJ182*$AG182</f>
        <v>1.3763615367809984E-2</v>
      </c>
      <c r="BX182" s="96">
        <f ca="1">ABS(-AG182+1/(1/AG182+AN182/100/AP182))*BV182*AW182</f>
        <v>0</v>
      </c>
      <c r="BY182" s="96">
        <f ca="1">ABS(-AW182*AP182/((AP182/AG182+AN182/100)^2))*(BO182*AN182/100)</f>
        <v>3.1459692269279985E-2</v>
      </c>
      <c r="BZ182" s="202">
        <f ca="1">ABS(AW182*AN182/100/(1/AG182*AP182+AN182/100)^2)*(BR182*AP182)</f>
        <v>3.775163072313599E-2</v>
      </c>
      <c r="CA182" s="103">
        <f t="shared" ca="1" si="117"/>
        <v>5.1032685290182747E-2</v>
      </c>
      <c r="CB182" s="37">
        <f t="shared" ca="1" si="132"/>
        <v>5.8659217877094917E-2</v>
      </c>
      <c r="CC182" s="37">
        <f t="shared" ca="1" si="133"/>
        <v>0</v>
      </c>
      <c r="CD182" s="37">
        <f t="shared" ca="1" si="134"/>
        <v>0.13407821229050276</v>
      </c>
      <c r="CE182" s="37">
        <f t="shared" ca="1" si="135"/>
        <v>0.16089385474860335</v>
      </c>
      <c r="CF182" s="13">
        <f t="shared" ca="1" si="136"/>
        <v>0.2174964444510169</v>
      </c>
      <c r="CG182" s="101">
        <f ca="1">AG182</f>
        <v>1.2</v>
      </c>
      <c r="CH182" s="101">
        <f>AW182</f>
        <v>1</v>
      </c>
      <c r="CI182" s="203">
        <f>IF(CH182&gt;0,AN182,0)</f>
        <v>12</v>
      </c>
      <c r="CJ182" s="102">
        <f ca="1">IF(AND(CH182&gt;0,CI182&gt;0),AP182,0)</f>
        <v>3.5000000000000003E-2</v>
      </c>
      <c r="CK182" s="102">
        <f ca="1">BB182</f>
        <v>0.23463687150837995</v>
      </c>
      <c r="CL182" s="37">
        <f t="shared" ca="1" si="99"/>
        <v>0.3</v>
      </c>
      <c r="CM182" s="37">
        <f t="shared" ca="1" si="100"/>
        <v>0</v>
      </c>
      <c r="CN182" s="37">
        <f t="shared" ca="1" si="101"/>
        <v>0.16666666666666666</v>
      </c>
      <c r="CO182" s="37">
        <f t="shared" ca="1" si="102"/>
        <v>0.2</v>
      </c>
      <c r="CP182" s="37">
        <f t="shared" ca="1" si="103"/>
        <v>0.2174964444510169</v>
      </c>
      <c r="CQ182" s="95">
        <f t="shared" ca="1" si="104"/>
        <v>0.36</v>
      </c>
      <c r="CR182" s="95">
        <f t="shared" ca="1" si="105"/>
        <v>0</v>
      </c>
      <c r="CS182" s="95">
        <f t="shared" ca="1" si="106"/>
        <v>2</v>
      </c>
      <c r="CT182" s="103">
        <f t="shared" ca="1" si="107"/>
        <v>7.000000000000001E-3</v>
      </c>
      <c r="CU182" s="95">
        <f t="shared" ca="1" si="108"/>
        <v>5.1032685290182747E-2</v>
      </c>
      <c r="CV182" s="37">
        <f ca="1">$CB182^2/$CF182^2</f>
        <v>7.2739148506620652E-2</v>
      </c>
      <c r="CW182" s="37">
        <f ca="1">$CD182^2/$CF182^2</f>
        <v>0.38002493913663088</v>
      </c>
      <c r="CX182" s="37">
        <f ca="1">$CE182^2/$CF182^2</f>
        <v>0.54723591235674873</v>
      </c>
      <c r="CY182" s="37">
        <f ca="1">$CC182^2/$CF182^2</f>
        <v>0</v>
      </c>
      <c r="DA182" s="98" t="s">
        <v>214</v>
      </c>
      <c r="DB182" s="36">
        <f ca="1">OFFSET($A$1,ROW(DB182)-1,MATCH(DA182,$1:$1,0)-1)</f>
        <v>12</v>
      </c>
      <c r="DC182" s="9">
        <f ca="1">BB182</f>
        <v>0.23463687150837995</v>
      </c>
      <c r="DD182" s="9">
        <f ca="1">$DC182+$CA182</f>
        <v>0.28566955679856271</v>
      </c>
      <c r="DE182" s="9">
        <f ca="1">$DC182-$CA182</f>
        <v>0.18360418621819719</v>
      </c>
      <c r="DF182" s="10">
        <f t="shared" ca="1" si="87"/>
        <v>0.21749644445101696</v>
      </c>
    </row>
    <row r="183" spans="1:110" s="8" customFormat="1" ht="32.4" customHeight="1">
      <c r="A183" s="206" t="s">
        <v>619</v>
      </c>
      <c r="B183" s="208" t="s">
        <v>2344</v>
      </c>
      <c r="C183" s="206" t="str">
        <f t="shared" si="143"/>
        <v>Parameter-Variation: Code_DataSources = RecordsStatementOwner</v>
      </c>
      <c r="D183" s="206"/>
      <c r="E183" s="206" t="s">
        <v>202</v>
      </c>
      <c r="F183" s="206" t="str">
        <f t="shared" si="150"/>
        <v>RecordsStatementOwner</v>
      </c>
      <c r="G183" s="206" t="s">
        <v>2170</v>
      </c>
      <c r="H183" s="206" t="s">
        <v>2171</v>
      </c>
      <c r="I183" s="156" t="s">
        <v>80</v>
      </c>
      <c r="J183" s="156" t="s">
        <v>134</v>
      </c>
      <c r="K183" s="156" t="s">
        <v>155</v>
      </c>
      <c r="L183" s="156" t="s">
        <v>190</v>
      </c>
      <c r="M183" s="156" t="s">
        <v>188</v>
      </c>
      <c r="N183" s="7">
        <v>1960</v>
      </c>
      <c r="O183" s="156">
        <v>1</v>
      </c>
      <c r="P183" s="156">
        <v>0</v>
      </c>
      <c r="Q183" s="156" t="s">
        <v>435</v>
      </c>
      <c r="R183" s="156" t="s">
        <v>58</v>
      </c>
      <c r="S183" s="19">
        <v>12</v>
      </c>
      <c r="T183" s="19">
        <v>1</v>
      </c>
      <c r="U183" s="19">
        <v>2016</v>
      </c>
      <c r="V183" s="19" t="e">
        <v>#N/A</v>
      </c>
      <c r="W183" s="28" t="s">
        <v>59</v>
      </c>
      <c r="X183" s="19" t="e">
        <v>#N/A</v>
      </c>
      <c r="Y183" s="105">
        <f ca="1">IFERROR(OFFSET(Tab.Const.ConstrBorder!$A$1,MATCH(Q183,Tab.Const.ConstrBorder!$A:$A,0)-1,MATCH(Y$87,Tab.Const.ConstrBorder!$1:$1,0)-1),0)</f>
        <v>0</v>
      </c>
      <c r="Z183" s="18">
        <f t="shared" si="110"/>
        <v>1960</v>
      </c>
      <c r="AA183" s="17">
        <f>MATCH(Z183,Tab.Year.Period!$11:$11,1)-3</f>
        <v>5</v>
      </c>
      <c r="AB183" s="17">
        <f>MATCH(AB$88&amp;"."&amp;TEXT(AA183,"00"),Tab.U.Default!$A:$A,0)</f>
        <v>28</v>
      </c>
      <c r="AC183" s="105">
        <f ca="1">OFFSET(Tab.U.Default!$A$1,$AB183-1,MATCH("U_Class_"&amp;IF($J183="TopCeiling","UpperCeiling",$J183)&amp;"_"&amp;AC$87,Tab.U.Default!$1:$1,0)-1)</f>
        <v>1.2</v>
      </c>
      <c r="AD183" s="105">
        <f ca="1">OFFSET(Tab.U.Default!$A$1,$AB183-1,MATCH("U_Class_"&amp;IF($J183="TopCeiling","UpperCeiling",$J183)&amp;"_"&amp;AD$87,Tab.U.Default!$1:$1,0)-1)</f>
        <v>1.2</v>
      </c>
      <c r="AE183" s="105">
        <f ca="1">OFFSET(Tab.U.Default!$A$1,$AB183-1,MATCH("U_Class_"&amp;IF($J183="TopCeiling","UpperCeiling",$J183)&amp;"_"&amp;AE$87,Tab.U.Default!$1:$1,0)-1)</f>
        <v>0.8</v>
      </c>
      <c r="AF183" s="26">
        <f t="shared" ca="1" si="96"/>
        <v>1.2</v>
      </c>
      <c r="AG183" s="26">
        <f t="shared" ca="1" si="97"/>
        <v>1.2</v>
      </c>
      <c r="AH183" s="18" t="str">
        <f t="shared" si="124"/>
        <v>Refurbish</v>
      </c>
      <c r="AI183" s="18" t="str">
        <f t="shared" si="111"/>
        <v>Add</v>
      </c>
      <c r="AJ183" s="18">
        <f t="shared" si="98"/>
        <v>2016</v>
      </c>
      <c r="AK183" s="17">
        <f>MATCH(AJ183,Tab.Year.Period!$11:$11,1)-3</f>
        <v>12</v>
      </c>
      <c r="AL183" s="17">
        <f>MATCH(AL$88&amp;"."&amp;TEXT(AK183,"00"),Tab.Insulation.Default!$A:$A,0)</f>
        <v>23</v>
      </c>
      <c r="AM183" s="20" t="e">
        <f ca="1">IF(ISNA(IF(S183="",#N/A,S183)),OFFSET(Tab.Insulation.Default!$A$1,$AL183-1,MATCH(AM$87&amp;"_"&amp;$K183,Tab.Insulation.Default!$1:$1,0)-1),#N/A)</f>
        <v>#N/A</v>
      </c>
      <c r="AN183" s="27">
        <f t="shared" si="112"/>
        <v>12</v>
      </c>
      <c r="AO183" s="22">
        <f ca="1">IF(ISNA(IF(V183="",#N/A,V183)),OFFSET(Tab.Insulation.Default!$A$1,$AL183-1,MATCH(AO$87&amp;"_"&amp;$K183,Tab.Insulation.Default!$1:$1,0)-1),#N/A)</f>
        <v>3.5000000000000003E-2</v>
      </c>
      <c r="AP183" s="23">
        <f t="shared" ca="1" si="113"/>
        <v>3.5000000000000003E-2</v>
      </c>
      <c r="AQ183" s="29" t="str">
        <f t="shared" si="125"/>
        <v>Gen.Refurbished.12</v>
      </c>
      <c r="AR183" s="17">
        <f>MATCH(AR$88&amp;"."&amp;AQ183,Tab.Measure.f.Default!$A:$A,0)</f>
        <v>23</v>
      </c>
      <c r="AS183" s="21">
        <f ca="1">OFFSET(Tab.Measure.f.Default!$A$1,AR183-1,MATCH(AS$87&amp;"_"&amp;$J183,Tab.Measure.f.Default!$1:$1,0)-1)</f>
        <v>0.75</v>
      </c>
      <c r="AT183" s="29" t="str">
        <f t="shared" si="126"/>
        <v>MUH.NA.05</v>
      </c>
      <c r="AU183" s="17">
        <f>MATCH(AU$88&amp;"."&amp;AT183,Tab.Measure.f.Default!$A:$A,0)</f>
        <v>40</v>
      </c>
      <c r="AV183" s="21">
        <f ca="1">OFFSET(Tab.Measure.f.Default!$A$1,AU183-1,MATCH(AV$87&amp;"_"&amp;$J183,Tab.Measure.f.Default!$1:$1,0)-1)</f>
        <v>0.37</v>
      </c>
      <c r="AW183" s="30">
        <f t="shared" si="114"/>
        <v>1</v>
      </c>
      <c r="AX183" s="9">
        <f t="shared" ca="1" si="127"/>
        <v>0.83333333333333337</v>
      </c>
      <c r="AY183" s="9">
        <f t="shared" ca="1" si="128"/>
        <v>3.4285714285714279</v>
      </c>
      <c r="AZ183" s="9">
        <f t="shared" ca="1" si="144"/>
        <v>4.261904761904761</v>
      </c>
      <c r="BA183" s="9">
        <f t="shared" ca="1" si="145"/>
        <v>0.23463687150837995</v>
      </c>
      <c r="BB183" s="9">
        <f t="shared" ca="1" si="129"/>
        <v>0.23463687150837995</v>
      </c>
      <c r="BC183" s="32" t="str">
        <f t="shared" si="130"/>
        <v>D</v>
      </c>
      <c r="BD183" s="20" t="str">
        <f ca="1">OFFSET(Tab.Uncertainty.Levels!$A$1,MATCH(BD$88,Tab.Uncertainty.Levels!$A:$A,0)-1,MATCH(BD$87&amp;"_"&amp;BC183,Tab.Uncertainty.Levels!$1:$1,0)-1)</f>
        <v>Use of default values; building constructed until 1983</v>
      </c>
      <c r="BE183" s="24">
        <f ca="1">OFFSET(Tab.Uncertainty.Levels!$A$1,MATCH(BE$88,Tab.Uncertainty.Levels!$A:$A,0)-1,MATCH(BE$87&amp;"_"&amp;BC183,Tab.Uncertainty.Levels!$1:$1,0)-1)</f>
        <v>0.3</v>
      </c>
      <c r="BF183" s="32" t="str">
        <f t="shared" si="131"/>
        <v>-</v>
      </c>
      <c r="BG183" s="20" t="e">
        <f ca="1">OFFSET(Tab.Uncertainty.Levels!$A$1,MATCH(BG$88,Tab.Uncertainty.Levels!$A:$A,0)-1,MATCH(BG$87&amp;"_"&amp;BF183,Tab.Uncertainty.Levels!$1:$1,0)-1)</f>
        <v>#N/A</v>
      </c>
      <c r="BH183" s="24" t="e">
        <f ca="1">OFFSET(Tab.Uncertainty.Levels!$A$1,MATCH(BH$88,Tab.Uncertainty.Levels!$A:$A,0)-1,MATCH(BH$87&amp;"_"&amp;BF183,Tab.Uncertainty.Levels!$1:$1,0)-1)</f>
        <v>#N/A</v>
      </c>
      <c r="BI183" s="32" t="str">
        <f t="shared" si="137"/>
        <v>D</v>
      </c>
      <c r="BJ183" s="13">
        <f ca="1">IF(BF183="-",BE183,BH183)</f>
        <v>0.3</v>
      </c>
      <c r="BK183" s="32" t="str">
        <f>IF(OR($L183="NoDataSource",IFERROR(IF($S183="",#N/A,$S183),0)=0),IF(IFERROR(IF(U183="",#N/A,U183),0)=0,"E","D"),IF($L183="DesignDataPlusQA","A",IF($L183="DesignData","B","C")))</f>
        <v>C</v>
      </c>
      <c r="BL183" s="20" t="str">
        <f ca="1">OFFSET(Tab.Uncertainty.Levels!$A$1,MATCH(BL$88,Tab.Uncertainty.Levels!$A:$A,0)-1,MATCH(BL$87&amp;"_"&amp;BK183,Tab.Uncertainty.Levels!$1:$1,0)-1)</f>
        <v>Insulation thickness determined by inspection onsite / record or statement of owner</v>
      </c>
      <c r="BM183" s="24">
        <f ca="1">OFFSET(Tab.Uncertainty.Levels!$A$1,MATCH(BM$88,Tab.Uncertainty.Levels!$A:$A,0)-1,MATCH(BM$87&amp;"_"&amp;BK183,Tab.Uncertainty.Levels!$1:$1,0)-1)</f>
        <v>0.25</v>
      </c>
      <c r="BN183" s="34">
        <f ca="1">OFFSET(Tab.Uncertainty.Levels!$A$1,MATCH(BN$88,Tab.Uncertainty.Levels!$A:$A,0)-1,MATCH(BN$87&amp;"_"&amp;BK183,Tab.Uncertainty.Levels!$1:$1,0)-1)</f>
        <v>2</v>
      </c>
      <c r="BO183" s="13">
        <f ca="1">IFERROR(MIN(BM183,BN183/AN183),0)</f>
        <v>0.16666666666666666</v>
      </c>
      <c r="BP183" s="32" t="str">
        <f>IF(OR($L183="NoDataSource",IFERROR(IF($V183="",#N/A,$V183),0)=0),IF(IFERROR(IF(U183="",#N/A,U183),0)=0,"E","D"),IF($L183="DesignDataPlusQA","A",IF($L183="DesignData","B","C")))</f>
        <v>D</v>
      </c>
      <c r="BQ183" s="20" t="str">
        <f ca="1">OFFSET(Tab.Uncertainty.Levels!$A$1,MATCH(BQ$88,Tab.Uncertainty.Levels!$A:$A,0)-1,MATCH(BQ$87&amp;"_"&amp;BP183,Tab.Uncertainty.Levels!$1:$1,0)-1)</f>
        <v>Insulation available; no information about material</v>
      </c>
      <c r="BR183" s="97">
        <f ca="1">OFFSET(Tab.Uncertainty.Levels!$A$1,MATCH(BR$88,Tab.Uncertainty.Levels!$A:$A,0)-1,MATCH(BR$87&amp;"_"&amp;BP183,Tab.Uncertainty.Levels!$1:$1,0)-1)</f>
        <v>0.2</v>
      </c>
      <c r="BS183" s="32" t="str">
        <f>IF(L183="NoDataSource","D",IF(IFERROR(IF($T183="",#N/A,$T183),0)=0,IF(OR(IFERROR(IF($S183="",#N/A,$S183),0)&gt;0,$R183="Refurbish"),"D","E"),IF($L183="DesignDataPlusQA","A",IF($L183="DesignData","B","C"))))</f>
        <v>C</v>
      </c>
      <c r="BT183" s="20" t="str">
        <f ca="1">OFFSET(Tab.Uncertainty.Levels!$A$1,MATCH(BT$88,Tab.Uncertainty.Levels!$A:$A,0)-1,MATCH(BT$87&amp;"_"&amp;BS183,Tab.Uncertainty.Levels!$1:$1,0)-1)</f>
        <v>Insulation fraction determined by inspection onsite / record or statement of owner</v>
      </c>
      <c r="BU183" s="33">
        <f ca="1">OFFSET(Tab.Uncertainty.Levels!$A$1,MATCH(BU$88,Tab.Uncertainty.Levels!$A:$A,0)-1,MATCH(BU$87&amp;"_"&amp;BS183,Tab.Uncertainty.Levels!$1:$1,0)-1)</f>
        <v>0.2</v>
      </c>
      <c r="BV183" s="13">
        <f ca="1">IFERROR(MIN(BU183/AW183,1,(1-AW183)/AW183),0)</f>
        <v>0</v>
      </c>
      <c r="BW183" s="96">
        <f ca="1">ABS(1+(AW183*(1/(1+AN183/100/AP183*AG183)^2-1)))*BJ183*$AG183</f>
        <v>1.3763615367809984E-2</v>
      </c>
      <c r="BX183" s="96">
        <f ca="1">ABS(-AG183+1/(1/AG183+AN183/100/AP183))*BV183*AW183</f>
        <v>0</v>
      </c>
      <c r="BY183" s="96">
        <f ca="1">ABS(-AW183*AP183/((AP183/AG183+AN183/100)^2))*(BO183*AN183/100)</f>
        <v>3.1459692269279985E-2</v>
      </c>
      <c r="BZ183" s="202">
        <f ca="1">ABS(AW183*AN183/100/(1/AG183*AP183+AN183/100)^2)*(BR183*AP183)</f>
        <v>3.775163072313599E-2</v>
      </c>
      <c r="CA183" s="103">
        <f t="shared" ca="1" si="117"/>
        <v>5.1032685290182747E-2</v>
      </c>
      <c r="CB183" s="37">
        <f t="shared" ca="1" si="132"/>
        <v>5.8659217877094917E-2</v>
      </c>
      <c r="CC183" s="37">
        <f t="shared" ca="1" si="133"/>
        <v>0</v>
      </c>
      <c r="CD183" s="37">
        <f t="shared" ca="1" si="134"/>
        <v>0.13407821229050276</v>
      </c>
      <c r="CE183" s="37">
        <f t="shared" ca="1" si="135"/>
        <v>0.16089385474860335</v>
      </c>
      <c r="CF183" s="13">
        <f t="shared" ca="1" si="136"/>
        <v>0.2174964444510169</v>
      </c>
      <c r="CG183" s="101">
        <f ca="1">AG183</f>
        <v>1.2</v>
      </c>
      <c r="CH183" s="101">
        <f>AW183</f>
        <v>1</v>
      </c>
      <c r="CI183" s="203">
        <f>IF(CH183&gt;0,AN183,0)</f>
        <v>12</v>
      </c>
      <c r="CJ183" s="102">
        <f ca="1">IF(AND(CH183&gt;0,CI183&gt;0),AP183,0)</f>
        <v>3.5000000000000003E-2</v>
      </c>
      <c r="CK183" s="102">
        <f ca="1">BB183</f>
        <v>0.23463687150837995</v>
      </c>
      <c r="CL183" s="37">
        <f t="shared" ca="1" si="99"/>
        <v>0.3</v>
      </c>
      <c r="CM183" s="37">
        <f t="shared" ca="1" si="100"/>
        <v>0</v>
      </c>
      <c r="CN183" s="37">
        <f t="shared" ca="1" si="101"/>
        <v>0.16666666666666666</v>
      </c>
      <c r="CO183" s="37">
        <f t="shared" ca="1" si="102"/>
        <v>0.2</v>
      </c>
      <c r="CP183" s="37">
        <f t="shared" ca="1" si="103"/>
        <v>0.2174964444510169</v>
      </c>
      <c r="CQ183" s="95">
        <f t="shared" ca="1" si="104"/>
        <v>0.36</v>
      </c>
      <c r="CR183" s="95">
        <f t="shared" ca="1" si="105"/>
        <v>0</v>
      </c>
      <c r="CS183" s="95">
        <f t="shared" ca="1" si="106"/>
        <v>2</v>
      </c>
      <c r="CT183" s="103">
        <f t="shared" ca="1" si="107"/>
        <v>7.000000000000001E-3</v>
      </c>
      <c r="CU183" s="95">
        <f t="shared" ca="1" si="108"/>
        <v>5.1032685290182747E-2</v>
      </c>
      <c r="CV183" s="37">
        <f ca="1">$CB183^2/$CF183^2</f>
        <v>7.2739148506620652E-2</v>
      </c>
      <c r="CW183" s="37">
        <f ca="1">$CD183^2/$CF183^2</f>
        <v>0.38002493913663088</v>
      </c>
      <c r="CX183" s="37">
        <f ca="1">$CE183^2/$CF183^2</f>
        <v>0.54723591235674873</v>
      </c>
      <c r="CY183" s="37">
        <f ca="1">$CC183^2/$CF183^2</f>
        <v>0</v>
      </c>
      <c r="DA183" s="98" t="s">
        <v>214</v>
      </c>
      <c r="DB183" s="36">
        <f ca="1">OFFSET($A$1,ROW(DB183)-1,MATCH(DA183,$1:$1,0)-1)</f>
        <v>12</v>
      </c>
      <c r="DC183" s="9">
        <f ca="1">BB183</f>
        <v>0.23463687150837995</v>
      </c>
      <c r="DD183" s="9">
        <f ca="1">$DC183+$CA183</f>
        <v>0.28566955679856271</v>
      </c>
      <c r="DE183" s="9">
        <f ca="1">$DC183-$CA183</f>
        <v>0.18360418621819719</v>
      </c>
      <c r="DF183" s="10">
        <f t="shared" ca="1" si="87"/>
        <v>0.21749644445101696</v>
      </c>
    </row>
    <row r="184" spans="1:110" s="8" customFormat="1" ht="32.4" customHeight="1">
      <c r="A184" s="206" t="s">
        <v>620</v>
      </c>
      <c r="B184" s="209" t="s">
        <v>2345</v>
      </c>
      <c r="C184" s="206" t="str">
        <f t="shared" ref="C184:C216" ca="1" si="151">E184&amp;" = "&amp;F184</f>
        <v>Parameter-Variation: U_Original = 0,80 W/(m²K) - Year_Building = NA</v>
      </c>
      <c r="D184" s="206"/>
      <c r="E184" s="206" t="s">
        <v>199</v>
      </c>
      <c r="F184" s="206" t="str">
        <f t="shared" ref="F184:F189" ca="1" si="152">TEXT(AG184,"0,00")&amp;" W/(m²K) - Year_Building = "&amp;IFERROR(N184,"NA")</f>
        <v>0,80 W/(m²K) - Year_Building = NA</v>
      </c>
      <c r="G184" s="206" t="s">
        <v>2170</v>
      </c>
      <c r="H184" s="206" t="s">
        <v>2171</v>
      </c>
      <c r="I184" s="156" t="s">
        <v>80</v>
      </c>
      <c r="J184" s="156" t="s">
        <v>134</v>
      </c>
      <c r="K184" s="156" t="s">
        <v>155</v>
      </c>
      <c r="L184" s="156" t="s">
        <v>66</v>
      </c>
      <c r="M184" s="156" t="s">
        <v>188</v>
      </c>
      <c r="N184" s="7" t="e">
        <v>#N/A</v>
      </c>
      <c r="O184" s="156">
        <v>0</v>
      </c>
      <c r="P184" s="156">
        <v>1</v>
      </c>
      <c r="Q184" s="156" t="s">
        <v>435</v>
      </c>
      <c r="R184" s="156" t="s">
        <v>58</v>
      </c>
      <c r="S184" s="19">
        <v>12</v>
      </c>
      <c r="T184" s="19">
        <v>0.8</v>
      </c>
      <c r="U184" s="19">
        <v>2016</v>
      </c>
      <c r="V184" s="19" t="e">
        <v>#N/A</v>
      </c>
      <c r="W184" s="28" t="s">
        <v>59</v>
      </c>
      <c r="X184" s="19" t="e">
        <v>#N/A</v>
      </c>
      <c r="Y184" s="105">
        <f ca="1">IFERROR(OFFSET(Tab.Const.ConstrBorder!$A$1,MATCH(Q184,Tab.Const.ConstrBorder!$A:$A,0)-1,MATCH(Y$87,Tab.Const.ConstrBorder!$1:$1,0)-1),0)</f>
        <v>0</v>
      </c>
      <c r="Z184" s="18">
        <f t="shared" si="110"/>
        <v>1963</v>
      </c>
      <c r="AA184" s="17">
        <f>MATCH(Z184,Tab.Year.Period!$11:$11,1)-3</f>
        <v>5</v>
      </c>
      <c r="AB184" s="17">
        <f>MATCH(AB$88&amp;"."&amp;TEXT(AA184,"00"),Tab.U.Default!$A:$A,0)</f>
        <v>28</v>
      </c>
      <c r="AC184" s="105">
        <f ca="1">OFFSET(Tab.U.Default!$A$1,$AB184-1,MATCH("U_Class_"&amp;IF($J184="TopCeiling","UpperCeiling",$J184)&amp;"_"&amp;AC$87,Tab.U.Default!$1:$1,0)-1)</f>
        <v>1.2</v>
      </c>
      <c r="AD184" s="105">
        <f ca="1">OFFSET(Tab.U.Default!$A$1,$AB184-1,MATCH("U_Class_"&amp;IF($J184="TopCeiling","UpperCeiling",$J184)&amp;"_"&amp;AD$87,Tab.U.Default!$1:$1,0)-1)</f>
        <v>1.2</v>
      </c>
      <c r="AE184" s="105">
        <f ca="1">OFFSET(Tab.U.Default!$A$1,$AB184-1,MATCH("U_Class_"&amp;IF($J184="TopCeiling","UpperCeiling",$J184)&amp;"_"&amp;AE$87,Tab.U.Default!$1:$1,0)-1)</f>
        <v>0.8</v>
      </c>
      <c r="AF184" s="26">
        <f t="shared" ca="1" si="96"/>
        <v>0.8</v>
      </c>
      <c r="AG184" s="26">
        <f t="shared" ca="1" si="97"/>
        <v>0.8</v>
      </c>
      <c r="AH184" s="18" t="str">
        <f t="shared" si="124"/>
        <v>Refurbish</v>
      </c>
      <c r="AI184" s="18" t="str">
        <f t="shared" si="111"/>
        <v>Add</v>
      </c>
      <c r="AJ184" s="18">
        <f t="shared" si="98"/>
        <v>2016</v>
      </c>
      <c r="AK184" s="17">
        <f>MATCH(AJ184,Tab.Year.Period!$11:$11,1)-3</f>
        <v>12</v>
      </c>
      <c r="AL184" s="17">
        <f>MATCH(AL$88&amp;"."&amp;TEXT(AK184,"00"),Tab.Insulation.Default!$A:$A,0)</f>
        <v>23</v>
      </c>
      <c r="AM184" s="20" t="e">
        <f ca="1">IF(ISNA(IF(S184="",#N/A,S184)),OFFSET(Tab.Insulation.Default!$A$1,$AL184-1,MATCH(AM$87&amp;"_"&amp;$K184,Tab.Insulation.Default!$1:$1,0)-1),#N/A)</f>
        <v>#N/A</v>
      </c>
      <c r="AN184" s="27">
        <f t="shared" si="112"/>
        <v>12</v>
      </c>
      <c r="AO184" s="22">
        <f ca="1">IF(ISNA(IF(V184="",#N/A,V184)),OFFSET(Tab.Insulation.Default!$A$1,$AL184-1,MATCH(AO$87&amp;"_"&amp;$K184,Tab.Insulation.Default!$1:$1,0)-1),#N/A)</f>
        <v>3.5000000000000003E-2</v>
      </c>
      <c r="AP184" s="23">
        <f t="shared" ca="1" si="113"/>
        <v>3.5000000000000003E-2</v>
      </c>
      <c r="AQ184" s="29" t="str">
        <f t="shared" si="125"/>
        <v>Gen.Refurbished.12</v>
      </c>
      <c r="AR184" s="17">
        <f>MATCH(AR$88&amp;"."&amp;AQ184,Tab.Measure.f.Default!$A:$A,0)</f>
        <v>23</v>
      </c>
      <c r="AS184" s="21">
        <f ca="1">OFFSET(Tab.Measure.f.Default!$A$1,AR184-1,MATCH(AS$87&amp;"_"&amp;$J184,Tab.Measure.f.Default!$1:$1,0)-1)</f>
        <v>0.75</v>
      </c>
      <c r="AT184" s="29" t="str">
        <f t="shared" si="126"/>
        <v>MUH.NA.05</v>
      </c>
      <c r="AU184" s="17">
        <f>MATCH(AU$88&amp;"."&amp;AT184,Tab.Measure.f.Default!$A:$A,0)</f>
        <v>40</v>
      </c>
      <c r="AV184" s="21">
        <f ca="1">OFFSET(Tab.Measure.f.Default!$A$1,AU184-1,MATCH(AV$87&amp;"_"&amp;$J184,Tab.Measure.f.Default!$1:$1,0)-1)</f>
        <v>0.37</v>
      </c>
      <c r="AW184" s="30">
        <f t="shared" si="114"/>
        <v>0.8</v>
      </c>
      <c r="AX184" s="9">
        <f t="shared" ca="1" si="127"/>
        <v>1.25</v>
      </c>
      <c r="AY184" s="9">
        <f t="shared" ca="1" si="128"/>
        <v>3.4285714285714279</v>
      </c>
      <c r="AZ184" s="9">
        <f t="shared" ref="AZ184:AZ216" ca="1" si="153">AX184+AY184</f>
        <v>4.6785714285714279</v>
      </c>
      <c r="BA184" s="9">
        <f t="shared" ref="BA184:BA216" ca="1" si="154">1/AZ184</f>
        <v>0.2137404580152672</v>
      </c>
      <c r="BB184" s="9">
        <f t="shared" ca="1" si="129"/>
        <v>0.33099236641221375</v>
      </c>
      <c r="BC184" s="32" t="str">
        <f t="shared" si="130"/>
        <v>E</v>
      </c>
      <c r="BD184" s="20" t="str">
        <f ca="1">OFFSET(Tab.Uncertainty.Levels!$A$1,MATCH(BD$88,Tab.Uncertainty.Levels!$A:$A,0)-1,MATCH(BD$87&amp;"_"&amp;BC184,Tab.Uncertainty.Levels!$1:$1,0)-1)</f>
        <v>Construction year of the building unknown</v>
      </c>
      <c r="BE184" s="24">
        <f ca="1">OFFSET(Tab.Uncertainty.Levels!$A$1,MATCH(BE$88,Tab.Uncertainty.Levels!$A:$A,0)-1,MATCH(BE$87&amp;"_"&amp;BC184,Tab.Uncertainty.Levels!$1:$1,0)-1)</f>
        <v>0.5</v>
      </c>
      <c r="BF184" s="32" t="str">
        <f t="shared" si="131"/>
        <v>-</v>
      </c>
      <c r="BG184" s="20" t="e">
        <f ca="1">OFFSET(Tab.Uncertainty.Levels!$A$1,MATCH(BG$88,Tab.Uncertainty.Levels!$A:$A,0)-1,MATCH(BG$87&amp;"_"&amp;BF184,Tab.Uncertainty.Levels!$1:$1,0)-1)</f>
        <v>#N/A</v>
      </c>
      <c r="BH184" s="24" t="e">
        <f ca="1">OFFSET(Tab.Uncertainty.Levels!$A$1,MATCH(BH$88,Tab.Uncertainty.Levels!$A:$A,0)-1,MATCH(BH$87&amp;"_"&amp;BF184,Tab.Uncertainty.Levels!$1:$1,0)-1)</f>
        <v>#N/A</v>
      </c>
      <c r="BI184" s="32" t="str">
        <f t="shared" si="137"/>
        <v>E</v>
      </c>
      <c r="BJ184" s="13">
        <f ca="1">IF(BF184="-",BE184,BH184)</f>
        <v>0.5</v>
      </c>
      <c r="BK184" s="32" t="str">
        <f>IF(OR($L184="NoDataSource",IFERROR(IF($S184="",#N/A,$S184),0)=0),IF(IFERROR(IF(U184="",#N/A,U184),0)=0,"E","D"),IF($L184="DesignDataPlusQA","A",IF($L184="DesignData","B","C")))</f>
        <v>C</v>
      </c>
      <c r="BL184" s="20" t="str">
        <f ca="1">OFFSET(Tab.Uncertainty.Levels!$A$1,MATCH(BL$88,Tab.Uncertainty.Levels!$A:$A,0)-1,MATCH(BL$87&amp;"_"&amp;BK184,Tab.Uncertainty.Levels!$1:$1,0)-1)</f>
        <v>Insulation thickness determined by inspection onsite / record or statement of owner</v>
      </c>
      <c r="BM184" s="24">
        <f ca="1">OFFSET(Tab.Uncertainty.Levels!$A$1,MATCH(BM$88,Tab.Uncertainty.Levels!$A:$A,0)-1,MATCH(BM$87&amp;"_"&amp;BK184,Tab.Uncertainty.Levels!$1:$1,0)-1)</f>
        <v>0.25</v>
      </c>
      <c r="BN184" s="34">
        <f ca="1">OFFSET(Tab.Uncertainty.Levels!$A$1,MATCH(BN$88,Tab.Uncertainty.Levels!$A:$A,0)-1,MATCH(BN$87&amp;"_"&amp;BK184,Tab.Uncertainty.Levels!$1:$1,0)-1)</f>
        <v>2</v>
      </c>
      <c r="BO184" s="13">
        <f ca="1">IFERROR(MIN(BM184,BN184/AN184),0)</f>
        <v>0.16666666666666666</v>
      </c>
      <c r="BP184" s="32" t="str">
        <f>IF(OR($L184="NoDataSource",IFERROR(IF($V184="",#N/A,$V184),0)=0),IF(IFERROR(IF(U184="",#N/A,U184),0)=0,"E","D"),IF($L184="DesignDataPlusQA","A",IF($L184="DesignData","B","C")))</f>
        <v>D</v>
      </c>
      <c r="BQ184" s="20" t="str">
        <f ca="1">OFFSET(Tab.Uncertainty.Levels!$A$1,MATCH(BQ$88,Tab.Uncertainty.Levels!$A:$A,0)-1,MATCH(BQ$87&amp;"_"&amp;BP184,Tab.Uncertainty.Levels!$1:$1,0)-1)</f>
        <v>Insulation available; no information about material</v>
      </c>
      <c r="BR184" s="97">
        <f ca="1">OFFSET(Tab.Uncertainty.Levels!$A$1,MATCH(BR$88,Tab.Uncertainty.Levels!$A:$A,0)-1,MATCH(BR$87&amp;"_"&amp;BP184,Tab.Uncertainty.Levels!$1:$1,0)-1)</f>
        <v>0.2</v>
      </c>
      <c r="BS184" s="32" t="str">
        <f>IF(L184="NoDataSource","D",IF(IFERROR(IF($T184="",#N/A,$T184),0)=0,IF(OR(IFERROR(IF($S184="",#N/A,$S184),0)&gt;0,$R184="Refurbish"),"D","E"),IF($L184="DesignDataPlusQA","A",IF($L184="DesignData","B","C"))))</f>
        <v>C</v>
      </c>
      <c r="BT184" s="20" t="str">
        <f ca="1">OFFSET(Tab.Uncertainty.Levels!$A$1,MATCH(BT$88,Tab.Uncertainty.Levels!$A:$A,0)-1,MATCH(BT$87&amp;"_"&amp;BS184,Tab.Uncertainty.Levels!$1:$1,0)-1)</f>
        <v>Insulation fraction determined by inspection onsite / record or statement of owner</v>
      </c>
      <c r="BU184" s="33">
        <f ca="1">OFFSET(Tab.Uncertainty.Levels!$A$1,MATCH(BU$88,Tab.Uncertainty.Levels!$A:$A,0)-1,MATCH(BU$87&amp;"_"&amp;BS184,Tab.Uncertainty.Levels!$1:$1,0)-1)</f>
        <v>0.2</v>
      </c>
      <c r="BV184" s="13">
        <f ca="1">IFERROR(MIN(BU184/AW184,1,(1-AW184)/AW184),0)</f>
        <v>0.24999999999999994</v>
      </c>
      <c r="BW184" s="96">
        <f ca="1">ABS(1+(AW184*(1/(1+AN184/100/AP184*AG184)^2-1)))*BJ184*$AG184</f>
        <v>0.1028424916962881</v>
      </c>
      <c r="BX184" s="96">
        <f ca="1">ABS(-AG184+1/(1/AG184+AN184/100/AP184))*BV184*AW184</f>
        <v>0.11725190839694655</v>
      </c>
      <c r="BY184" s="96">
        <f ca="1">ABS(-AW184*AP184/((AP184/AG184+AN184/100)^2))*(BO184*AN184/100)</f>
        <v>2.0884563836606258E-2</v>
      </c>
      <c r="BZ184" s="202">
        <f ca="1">ABS(AW184*AN184/100/(1/AG184*AP184+AN184/100)^2)*(BR184*AP184)</f>
        <v>2.5061476603927515E-2</v>
      </c>
      <c r="CA184" s="103">
        <f t="shared" ca="1" si="117"/>
        <v>0.15933872955826375</v>
      </c>
      <c r="CB184" s="37">
        <f t="shared" ca="1" si="132"/>
        <v>0.31070955747725421</v>
      </c>
      <c r="CC184" s="37">
        <f t="shared" ca="1" si="133"/>
        <v>0.35424354243542427</v>
      </c>
      <c r="CD184" s="37">
        <f t="shared" ca="1" si="134"/>
        <v>6.3096814174248617E-2</v>
      </c>
      <c r="CE184" s="37">
        <f t="shared" ca="1" si="135"/>
        <v>7.5716177009098343E-2</v>
      </c>
      <c r="CF184" s="13">
        <f t="shared" ca="1" si="136"/>
        <v>0.48139699197722674</v>
      </c>
      <c r="CG184" s="101">
        <f ca="1">AG184</f>
        <v>0.8</v>
      </c>
      <c r="CH184" s="101">
        <f>AW184</f>
        <v>0.8</v>
      </c>
      <c r="CI184" s="203">
        <f>IF(CH184&gt;0,AN184,0)</f>
        <v>12</v>
      </c>
      <c r="CJ184" s="102">
        <f ca="1">IF(AND(CH184&gt;0,CI184&gt;0),AP184,0)</f>
        <v>3.5000000000000003E-2</v>
      </c>
      <c r="CK184" s="102">
        <f ca="1">BB184</f>
        <v>0.33099236641221375</v>
      </c>
      <c r="CL184" s="37">
        <f t="shared" ca="1" si="99"/>
        <v>0.5</v>
      </c>
      <c r="CM184" s="37">
        <f t="shared" ca="1" si="100"/>
        <v>0.24999999999999994</v>
      </c>
      <c r="CN184" s="37">
        <f t="shared" ca="1" si="101"/>
        <v>0.16666666666666666</v>
      </c>
      <c r="CO184" s="37">
        <f t="shared" ca="1" si="102"/>
        <v>0.2</v>
      </c>
      <c r="CP184" s="37">
        <f t="shared" ca="1" si="103"/>
        <v>0.48139699197722674</v>
      </c>
      <c r="CQ184" s="95">
        <f t="shared" ca="1" si="104"/>
        <v>0.4</v>
      </c>
      <c r="CR184" s="95">
        <f t="shared" ca="1" si="105"/>
        <v>0.19999999999999996</v>
      </c>
      <c r="CS184" s="95">
        <f t="shared" ca="1" si="106"/>
        <v>2</v>
      </c>
      <c r="CT184" s="103">
        <f t="shared" ca="1" si="107"/>
        <v>7.000000000000001E-3</v>
      </c>
      <c r="CU184" s="95">
        <f t="shared" ca="1" si="108"/>
        <v>0.15933872955826375</v>
      </c>
      <c r="CV184" s="37">
        <f ca="1">$CB184^2/$CF184^2</f>
        <v>0.41658389894997699</v>
      </c>
      <c r="CW184" s="37">
        <f ca="1">$CD184^2/$CF184^2</f>
        <v>1.7179405036778433E-2</v>
      </c>
      <c r="CX184" s="37">
        <f ca="1">$CE184^2/$CF184^2</f>
        <v>2.4738343252960947E-2</v>
      </c>
      <c r="CY184" s="37">
        <f ca="1">$CC184^2/$CF184^2</f>
        <v>0.5414983527602838</v>
      </c>
      <c r="DA184" s="98" t="s">
        <v>214</v>
      </c>
      <c r="DB184" s="36">
        <f ca="1">OFFSET($A$1,ROW(DB184)-1,MATCH(DA184,$1:$1,0)-1)</f>
        <v>12</v>
      </c>
      <c r="DC184" s="9">
        <f ca="1">BB184</f>
        <v>0.33099236641221375</v>
      </c>
      <c r="DD184" s="9">
        <f ca="1">$DC184+$CA184</f>
        <v>0.49033109597047753</v>
      </c>
      <c r="DE184" s="9">
        <f ca="1">$DC184-$CA184</f>
        <v>0.17165363685394999</v>
      </c>
      <c r="DF184" s="10">
        <f t="shared" ca="1" si="87"/>
        <v>0.4813969919772268</v>
      </c>
    </row>
    <row r="185" spans="1:110" s="8" customFormat="1" ht="32.4" customHeight="1">
      <c r="A185" s="206" t="s">
        <v>621</v>
      </c>
      <c r="B185" s="209" t="s">
        <v>2345</v>
      </c>
      <c r="C185" s="206" t="str">
        <f t="shared" ca="1" si="151"/>
        <v>Parameter-Variation: U_Original = 1,90 W/(m²K) - Year_Building = 1850</v>
      </c>
      <c r="D185" s="206"/>
      <c r="E185" s="206" t="s">
        <v>199</v>
      </c>
      <c r="F185" s="206" t="str">
        <f t="shared" ca="1" si="152"/>
        <v>1,90 W/(m²K) - Year_Building = 1850</v>
      </c>
      <c r="G185" s="206" t="s">
        <v>2170</v>
      </c>
      <c r="H185" s="206" t="s">
        <v>2171</v>
      </c>
      <c r="I185" s="156" t="s">
        <v>80</v>
      </c>
      <c r="J185" s="156" t="s">
        <v>134</v>
      </c>
      <c r="K185" s="156" t="s">
        <v>155</v>
      </c>
      <c r="L185" s="156" t="s">
        <v>66</v>
      </c>
      <c r="M185" s="156" t="s">
        <v>188</v>
      </c>
      <c r="N185" s="7">
        <v>1850</v>
      </c>
      <c r="O185" s="156">
        <v>0</v>
      </c>
      <c r="P185" s="156">
        <v>1</v>
      </c>
      <c r="Q185" s="156" t="s">
        <v>435</v>
      </c>
      <c r="R185" s="156" t="s">
        <v>58</v>
      </c>
      <c r="S185" s="19">
        <v>12</v>
      </c>
      <c r="T185" s="19">
        <v>0.8</v>
      </c>
      <c r="U185" s="19">
        <v>2016</v>
      </c>
      <c r="V185" s="19" t="e">
        <v>#N/A</v>
      </c>
      <c r="W185" s="28" t="s">
        <v>59</v>
      </c>
      <c r="X185" s="19" t="e">
        <v>#N/A</v>
      </c>
      <c r="Y185" s="105">
        <f ca="1">IFERROR(OFFSET(Tab.Const.ConstrBorder!$A$1,MATCH(Q185,Tab.Const.ConstrBorder!$A:$A,0)-1,MATCH(Y$87,Tab.Const.ConstrBorder!$1:$1,0)-1),0)</f>
        <v>0</v>
      </c>
      <c r="Z185" s="18">
        <f t="shared" si="110"/>
        <v>1850</v>
      </c>
      <c r="AA185" s="17">
        <f>MATCH(Z185,Tab.Year.Period!$11:$11,1)-3</f>
        <v>1</v>
      </c>
      <c r="AB185" s="17">
        <f>MATCH(AB$88&amp;"."&amp;TEXT(AA185,"00"),Tab.U.Default!$A:$A,0)</f>
        <v>24</v>
      </c>
      <c r="AC185" s="105">
        <f ca="1">OFFSET(Tab.U.Default!$A$1,$AB185-1,MATCH("U_Class_"&amp;IF($J185="TopCeiling","UpperCeiling",$J185)&amp;"_"&amp;AC$87,Tab.U.Default!$1:$1,0)-1)</f>
        <v>1.7</v>
      </c>
      <c r="AD185" s="105">
        <f ca="1">OFFSET(Tab.U.Default!$A$1,$AB185-1,MATCH("U_Class_"&amp;IF($J185="TopCeiling","UpperCeiling",$J185)&amp;"_"&amp;AD$87,Tab.U.Default!$1:$1,0)-1)</f>
        <v>1.7</v>
      </c>
      <c r="AE185" s="105">
        <f ca="1">OFFSET(Tab.U.Default!$A$1,$AB185-1,MATCH("U_Class_"&amp;IF($J185="TopCeiling","UpperCeiling",$J185)&amp;"_"&amp;AE$87,Tab.U.Default!$1:$1,0)-1)</f>
        <v>1.9</v>
      </c>
      <c r="AF185" s="26">
        <f t="shared" ca="1" si="96"/>
        <v>1.9</v>
      </c>
      <c r="AG185" s="26">
        <f t="shared" ca="1" si="97"/>
        <v>1.9000000000000001</v>
      </c>
      <c r="AH185" s="18" t="str">
        <f t="shared" si="124"/>
        <v>Refurbish</v>
      </c>
      <c r="AI185" s="18" t="str">
        <f t="shared" si="111"/>
        <v>Add</v>
      </c>
      <c r="AJ185" s="18">
        <f t="shared" si="98"/>
        <v>2016</v>
      </c>
      <c r="AK185" s="17">
        <f>MATCH(AJ185,Tab.Year.Period!$11:$11,1)-3</f>
        <v>12</v>
      </c>
      <c r="AL185" s="17">
        <f>MATCH(AL$88&amp;"."&amp;TEXT(AK185,"00"),Tab.Insulation.Default!$A:$A,0)</f>
        <v>23</v>
      </c>
      <c r="AM185" s="20" t="e">
        <f ca="1">IF(ISNA(IF(S185="",#N/A,S185)),OFFSET(Tab.Insulation.Default!$A$1,$AL185-1,MATCH(AM$87&amp;"_"&amp;$K185,Tab.Insulation.Default!$1:$1,0)-1),#N/A)</f>
        <v>#N/A</v>
      </c>
      <c r="AN185" s="27">
        <f t="shared" si="112"/>
        <v>12</v>
      </c>
      <c r="AO185" s="22">
        <f ca="1">IF(ISNA(IF(V185="",#N/A,V185)),OFFSET(Tab.Insulation.Default!$A$1,$AL185-1,MATCH(AO$87&amp;"_"&amp;$K185,Tab.Insulation.Default!$1:$1,0)-1),#N/A)</f>
        <v>3.5000000000000003E-2</v>
      </c>
      <c r="AP185" s="23">
        <f t="shared" ca="1" si="113"/>
        <v>3.5000000000000003E-2</v>
      </c>
      <c r="AQ185" s="29" t="str">
        <f t="shared" si="125"/>
        <v>Gen.Refurbished.12</v>
      </c>
      <c r="AR185" s="17">
        <f>MATCH(AR$88&amp;"."&amp;AQ185,Tab.Measure.f.Default!$A:$A,0)</f>
        <v>23</v>
      </c>
      <c r="AS185" s="21">
        <f ca="1">OFFSET(Tab.Measure.f.Default!$A$1,AR185-1,MATCH(AS$87&amp;"_"&amp;$J185,Tab.Measure.f.Default!$1:$1,0)-1)</f>
        <v>0.75</v>
      </c>
      <c r="AT185" s="29" t="str">
        <f t="shared" si="126"/>
        <v>MUH.NA.01</v>
      </c>
      <c r="AU185" s="17">
        <f>MATCH(AU$88&amp;"."&amp;AT185,Tab.Measure.f.Default!$A:$A,0)</f>
        <v>36</v>
      </c>
      <c r="AV185" s="21">
        <f ca="1">OFFSET(Tab.Measure.f.Default!$A$1,AU185-1,MATCH(AV$87&amp;"_"&amp;$J185,Tab.Measure.f.Default!$1:$1,0)-1)</f>
        <v>0.37</v>
      </c>
      <c r="AW185" s="30">
        <f t="shared" si="114"/>
        <v>0.8</v>
      </c>
      <c r="AX185" s="9">
        <f t="shared" ca="1" si="127"/>
        <v>0.52631578947368418</v>
      </c>
      <c r="AY185" s="9">
        <f t="shared" ca="1" si="128"/>
        <v>3.4285714285714279</v>
      </c>
      <c r="AZ185" s="9">
        <f t="shared" ca="1" si="153"/>
        <v>3.954887218045112</v>
      </c>
      <c r="BA185" s="9">
        <f t="shared" ca="1" si="154"/>
        <v>0.25285171102661602</v>
      </c>
      <c r="BB185" s="9">
        <f t="shared" ca="1" si="129"/>
        <v>0.58228136882129278</v>
      </c>
      <c r="BC185" s="32" t="str">
        <f t="shared" si="130"/>
        <v>D</v>
      </c>
      <c r="BD185" s="20" t="str">
        <f ca="1">OFFSET(Tab.Uncertainty.Levels!$A$1,MATCH(BD$88,Tab.Uncertainty.Levels!$A:$A,0)-1,MATCH(BD$87&amp;"_"&amp;BC185,Tab.Uncertainty.Levels!$1:$1,0)-1)</f>
        <v>Use of default values; building constructed until 1983</v>
      </c>
      <c r="BE185" s="24">
        <f ca="1">OFFSET(Tab.Uncertainty.Levels!$A$1,MATCH(BE$88,Tab.Uncertainty.Levels!$A:$A,0)-1,MATCH(BE$87&amp;"_"&amp;BC185,Tab.Uncertainty.Levels!$1:$1,0)-1)</f>
        <v>0.3</v>
      </c>
      <c r="BF185" s="32" t="str">
        <f t="shared" si="131"/>
        <v>-</v>
      </c>
      <c r="BG185" s="20" t="e">
        <f ca="1">OFFSET(Tab.Uncertainty.Levels!$A$1,MATCH(BG$88,Tab.Uncertainty.Levels!$A:$A,0)-1,MATCH(BG$87&amp;"_"&amp;BF185,Tab.Uncertainty.Levels!$1:$1,0)-1)</f>
        <v>#N/A</v>
      </c>
      <c r="BH185" s="24" t="e">
        <f ca="1">OFFSET(Tab.Uncertainty.Levels!$A$1,MATCH(BH$88,Tab.Uncertainty.Levels!$A:$A,0)-1,MATCH(BH$87&amp;"_"&amp;BF185,Tab.Uncertainty.Levels!$1:$1,0)-1)</f>
        <v>#N/A</v>
      </c>
      <c r="BI185" s="32" t="str">
        <f t="shared" si="137"/>
        <v>D</v>
      </c>
      <c r="BJ185" s="13">
        <f ca="1">IF(BF185="-",BE185,BH185)</f>
        <v>0.3</v>
      </c>
      <c r="BK185" s="32" t="str">
        <f>IF(OR($L185="NoDataSource",IFERROR(IF($S185="",#N/A,$S185),0)=0),IF(IFERROR(IF(U185="",#N/A,U185),0)=0,"E","D"),IF($L185="DesignDataPlusQA","A",IF($L185="DesignData","B","C")))</f>
        <v>C</v>
      </c>
      <c r="BL185" s="20" t="str">
        <f ca="1">OFFSET(Tab.Uncertainty.Levels!$A$1,MATCH(BL$88,Tab.Uncertainty.Levels!$A:$A,0)-1,MATCH(BL$87&amp;"_"&amp;BK185,Tab.Uncertainty.Levels!$1:$1,0)-1)</f>
        <v>Insulation thickness determined by inspection onsite / record or statement of owner</v>
      </c>
      <c r="BM185" s="24">
        <f ca="1">OFFSET(Tab.Uncertainty.Levels!$A$1,MATCH(BM$88,Tab.Uncertainty.Levels!$A:$A,0)-1,MATCH(BM$87&amp;"_"&amp;BK185,Tab.Uncertainty.Levels!$1:$1,0)-1)</f>
        <v>0.25</v>
      </c>
      <c r="BN185" s="34">
        <f ca="1">OFFSET(Tab.Uncertainty.Levels!$A$1,MATCH(BN$88,Tab.Uncertainty.Levels!$A:$A,0)-1,MATCH(BN$87&amp;"_"&amp;BK185,Tab.Uncertainty.Levels!$1:$1,0)-1)</f>
        <v>2</v>
      </c>
      <c r="BO185" s="13">
        <f ca="1">IFERROR(MIN(BM185,BN185/AN185),0)</f>
        <v>0.16666666666666666</v>
      </c>
      <c r="BP185" s="32" t="str">
        <f>IF(OR($L185="NoDataSource",IFERROR(IF($V185="",#N/A,$V185),0)=0),IF(IFERROR(IF(U185="",#N/A,U185),0)=0,"E","D"),IF($L185="DesignDataPlusQA","A",IF($L185="DesignData","B","C")))</f>
        <v>D</v>
      </c>
      <c r="BQ185" s="20" t="str">
        <f ca="1">OFFSET(Tab.Uncertainty.Levels!$A$1,MATCH(BQ$88,Tab.Uncertainty.Levels!$A:$A,0)-1,MATCH(BQ$87&amp;"_"&amp;BP185,Tab.Uncertainty.Levels!$1:$1,0)-1)</f>
        <v>Insulation available; no information about material</v>
      </c>
      <c r="BR185" s="97">
        <f ca="1">OFFSET(Tab.Uncertainty.Levels!$A$1,MATCH(BR$88,Tab.Uncertainty.Levels!$A:$A,0)-1,MATCH(BR$87&amp;"_"&amp;BP185,Tab.Uncertainty.Levels!$1:$1,0)-1)</f>
        <v>0.2</v>
      </c>
      <c r="BS185" s="32" t="str">
        <f>IF(L185="NoDataSource","D",IF(IFERROR(IF($T185="",#N/A,$T185),0)=0,IF(OR(IFERROR(IF($S185="",#N/A,$S185),0)&gt;0,$R185="Refurbish"),"D","E"),IF($L185="DesignDataPlusQA","A",IF($L185="DesignData","B","C"))))</f>
        <v>C</v>
      </c>
      <c r="BT185" s="20" t="str">
        <f ca="1">OFFSET(Tab.Uncertainty.Levels!$A$1,MATCH(BT$88,Tab.Uncertainty.Levels!$A:$A,0)-1,MATCH(BT$87&amp;"_"&amp;BS185,Tab.Uncertainty.Levels!$1:$1,0)-1)</f>
        <v>Insulation fraction determined by inspection onsite / record or statement of owner</v>
      </c>
      <c r="BU185" s="33">
        <f ca="1">OFFSET(Tab.Uncertainty.Levels!$A$1,MATCH(BU$88,Tab.Uncertainty.Levels!$A:$A,0)-1,MATCH(BU$87&amp;"_"&amp;BS185,Tab.Uncertainty.Levels!$1:$1,0)-1)</f>
        <v>0.2</v>
      </c>
      <c r="BV185" s="13">
        <f ca="1">IFERROR(MIN(BU185/AW185,1,(1-AW185)/AW185),0)</f>
        <v>0.24999999999999994</v>
      </c>
      <c r="BW185" s="96">
        <f ca="1">ABS(1+(AW185*(1/(1+AN185/100/AP185*AG185)^2-1)))*BJ185*$AG185</f>
        <v>0.12207587213925311</v>
      </c>
      <c r="BX185" s="96">
        <f ca="1">ABS(-AG185+1/(1/AG185+AN185/100/AP185))*BV185*AW185</f>
        <v>0.32942965779467676</v>
      </c>
      <c r="BY185" s="96">
        <f ca="1">ABS(-AW185*AP185/((AP185/AG185+AN185/100)^2))*(BO185*AN185/100)</f>
        <v>2.9226965837297062E-2</v>
      </c>
      <c r="BZ185" s="202">
        <f ca="1">ABS(AW185*AN185/100/(1/AG185*AP185+AN185/100)^2)*(BR185*AP185)</f>
        <v>3.5072359004756477E-2</v>
      </c>
      <c r="CA185" s="103">
        <f t="shared" ca="1" si="117"/>
        <v>0.35427489876011559</v>
      </c>
      <c r="CB185" s="37">
        <f t="shared" ca="1" si="132"/>
        <v>0.20965100151902552</v>
      </c>
      <c r="CC185" s="37">
        <f t="shared" ca="1" si="133"/>
        <v>0.56575682382133985</v>
      </c>
      <c r="CD185" s="37">
        <f t="shared" ca="1" si="134"/>
        <v>5.0193888044985813E-2</v>
      </c>
      <c r="CE185" s="37">
        <f t="shared" ca="1" si="135"/>
        <v>6.0232665653982977E-2</v>
      </c>
      <c r="CF185" s="13">
        <f t="shared" ca="1" si="136"/>
        <v>0.60842561299406039</v>
      </c>
      <c r="CG185" s="101">
        <f ca="1">AG185</f>
        <v>1.9000000000000001</v>
      </c>
      <c r="CH185" s="101">
        <f>AW185</f>
        <v>0.8</v>
      </c>
      <c r="CI185" s="203">
        <f>IF(CH185&gt;0,AN185,0)</f>
        <v>12</v>
      </c>
      <c r="CJ185" s="102">
        <f ca="1">IF(AND(CH185&gt;0,CI185&gt;0),AP185,0)</f>
        <v>3.5000000000000003E-2</v>
      </c>
      <c r="CK185" s="102">
        <f ca="1">BB185</f>
        <v>0.58228136882129278</v>
      </c>
      <c r="CL185" s="37">
        <f t="shared" ca="1" si="99"/>
        <v>0.3</v>
      </c>
      <c r="CM185" s="37">
        <f t="shared" ca="1" si="100"/>
        <v>0.24999999999999994</v>
      </c>
      <c r="CN185" s="37">
        <f t="shared" ca="1" si="101"/>
        <v>0.16666666666666666</v>
      </c>
      <c r="CO185" s="37">
        <f t="shared" ca="1" si="102"/>
        <v>0.2</v>
      </c>
      <c r="CP185" s="37">
        <f t="shared" ca="1" si="103"/>
        <v>0.60842561299406039</v>
      </c>
      <c r="CQ185" s="95">
        <f t="shared" ca="1" si="104"/>
        <v>0.57000000000000006</v>
      </c>
      <c r="CR185" s="95">
        <f t="shared" ca="1" si="105"/>
        <v>0.19999999999999996</v>
      </c>
      <c r="CS185" s="95">
        <f t="shared" ca="1" si="106"/>
        <v>2</v>
      </c>
      <c r="CT185" s="103">
        <f t="shared" ca="1" si="107"/>
        <v>7.000000000000001E-3</v>
      </c>
      <c r="CU185" s="95">
        <f t="shared" ca="1" si="108"/>
        <v>0.35427489876011564</v>
      </c>
      <c r="CV185" s="37">
        <f ca="1">$CB185^2/$CF185^2</f>
        <v>0.11873504088896826</v>
      </c>
      <c r="CW185" s="37">
        <f ca="1">$CD185^2/$CF185^2</f>
        <v>6.8059177868450048E-3</v>
      </c>
      <c r="CX185" s="37">
        <f ca="1">$CE185^2/$CF185^2</f>
        <v>9.8005216130568062E-3</v>
      </c>
      <c r="CY185" s="37">
        <f ca="1">$CC185^2/$CF185^2</f>
        <v>0.86465851971112972</v>
      </c>
      <c r="DA185" s="98" t="s">
        <v>214</v>
      </c>
      <c r="DB185" s="36">
        <f ca="1">OFFSET($A$1,ROW(DB185)-1,MATCH(DA185,$1:$1,0)-1)</f>
        <v>12</v>
      </c>
      <c r="DC185" s="9">
        <f ca="1">BB185</f>
        <v>0.58228136882129278</v>
      </c>
      <c r="DD185" s="9">
        <f ca="1">$DC185+$CA185</f>
        <v>0.93655626758140831</v>
      </c>
      <c r="DE185" s="9">
        <f ca="1">$DC185-$CA185</f>
        <v>0.22800647006117719</v>
      </c>
      <c r="DF185" s="10">
        <f t="shared" ca="1" si="87"/>
        <v>0.60842561299406028</v>
      </c>
    </row>
    <row r="186" spans="1:110" s="8" customFormat="1" ht="32.4" customHeight="1">
      <c r="A186" s="206" t="s">
        <v>622</v>
      </c>
      <c r="B186" s="209" t="s">
        <v>2345</v>
      </c>
      <c r="C186" s="206" t="str">
        <f t="shared" ca="1" si="151"/>
        <v>Parameter-Variation: U_Original = 1,50 W/(m²K) - Year_Building = 1920</v>
      </c>
      <c r="D186" s="206"/>
      <c r="E186" s="206" t="s">
        <v>199</v>
      </c>
      <c r="F186" s="206" t="str">
        <f t="shared" ca="1" si="152"/>
        <v>1,50 W/(m²K) - Year_Building = 1920</v>
      </c>
      <c r="G186" s="206" t="s">
        <v>2170</v>
      </c>
      <c r="H186" s="206" t="s">
        <v>2171</v>
      </c>
      <c r="I186" s="156" t="s">
        <v>80</v>
      </c>
      <c r="J186" s="156" t="s">
        <v>134</v>
      </c>
      <c r="K186" s="156" t="s">
        <v>155</v>
      </c>
      <c r="L186" s="156" t="s">
        <v>66</v>
      </c>
      <c r="M186" s="156" t="s">
        <v>188</v>
      </c>
      <c r="N186" s="7">
        <v>1920</v>
      </c>
      <c r="O186" s="156">
        <v>1</v>
      </c>
      <c r="P186" s="156">
        <v>0</v>
      </c>
      <c r="Q186" s="156" t="s">
        <v>435</v>
      </c>
      <c r="R186" s="156" t="s">
        <v>58</v>
      </c>
      <c r="S186" s="19">
        <v>12</v>
      </c>
      <c r="T186" s="19">
        <v>0.8</v>
      </c>
      <c r="U186" s="19">
        <v>2016</v>
      </c>
      <c r="V186" s="19" t="e">
        <v>#N/A</v>
      </c>
      <c r="W186" s="28" t="s">
        <v>59</v>
      </c>
      <c r="X186" s="19" t="e">
        <v>#N/A</v>
      </c>
      <c r="Y186" s="105">
        <f ca="1">IFERROR(OFFSET(Tab.Const.ConstrBorder!$A$1,MATCH(Q186,Tab.Const.ConstrBorder!$A:$A,0)-1,MATCH(Y$87,Tab.Const.ConstrBorder!$1:$1,0)-1),0)</f>
        <v>0</v>
      </c>
      <c r="Z186" s="18">
        <f t="shared" si="110"/>
        <v>1920</v>
      </c>
      <c r="AA186" s="17">
        <f>MATCH(Z186,Tab.Year.Period!$11:$11,1)-3</f>
        <v>3</v>
      </c>
      <c r="AB186" s="17">
        <f>MATCH(AB$88&amp;"."&amp;TEXT(AA186,"00"),Tab.U.Default!$A:$A,0)</f>
        <v>26</v>
      </c>
      <c r="AC186" s="105">
        <f ca="1">OFFSET(Tab.U.Default!$A$1,$AB186-1,MATCH("U_Class_"&amp;IF($J186="TopCeiling","UpperCeiling",$J186)&amp;"_"&amp;AC$87,Tab.U.Default!$1:$1,0)-1)</f>
        <v>1.5</v>
      </c>
      <c r="AD186" s="105">
        <f ca="1">OFFSET(Tab.U.Default!$A$1,$AB186-1,MATCH("U_Class_"&amp;IF($J186="TopCeiling","UpperCeiling",$J186)&amp;"_"&amp;AD$87,Tab.U.Default!$1:$1,0)-1)</f>
        <v>1.5</v>
      </c>
      <c r="AE186" s="105">
        <f ca="1">OFFSET(Tab.U.Default!$A$1,$AB186-1,MATCH("U_Class_"&amp;IF($J186="TopCeiling","UpperCeiling",$J186)&amp;"_"&amp;AE$87,Tab.U.Default!$1:$1,0)-1)</f>
        <v>1.5</v>
      </c>
      <c r="AF186" s="26">
        <f t="shared" ca="1" si="96"/>
        <v>1.5</v>
      </c>
      <c r="AG186" s="26">
        <f t="shared" ref="AG186:AG216" ca="1" si="155">1/(1/AF186+Y186)</f>
        <v>1.5</v>
      </c>
      <c r="AH186" s="18" t="str">
        <f t="shared" si="124"/>
        <v>Refurbish</v>
      </c>
      <c r="AI186" s="18" t="str">
        <f t="shared" si="111"/>
        <v>Add</v>
      </c>
      <c r="AJ186" s="18">
        <f t="shared" si="98"/>
        <v>2016</v>
      </c>
      <c r="AK186" s="17">
        <f>MATCH(AJ186,Tab.Year.Period!$11:$11,1)-3</f>
        <v>12</v>
      </c>
      <c r="AL186" s="17">
        <f>MATCH(AL$88&amp;"."&amp;TEXT(AK186,"00"),Tab.Insulation.Default!$A:$A,0)</f>
        <v>23</v>
      </c>
      <c r="AM186" s="20" t="e">
        <f ca="1">IF(ISNA(IF(S186="",#N/A,S186)),OFFSET(Tab.Insulation.Default!$A$1,$AL186-1,MATCH(AM$87&amp;"_"&amp;$K186,Tab.Insulation.Default!$1:$1,0)-1),#N/A)</f>
        <v>#N/A</v>
      </c>
      <c r="AN186" s="27">
        <f t="shared" si="112"/>
        <v>12</v>
      </c>
      <c r="AO186" s="22">
        <f ca="1">IF(ISNA(IF(V186="",#N/A,V186)),OFFSET(Tab.Insulation.Default!$A$1,$AL186-1,MATCH(AO$87&amp;"_"&amp;$K186,Tab.Insulation.Default!$1:$1,0)-1),#N/A)</f>
        <v>3.5000000000000003E-2</v>
      </c>
      <c r="AP186" s="23">
        <f t="shared" ca="1" si="113"/>
        <v>3.5000000000000003E-2</v>
      </c>
      <c r="AQ186" s="29" t="str">
        <f t="shared" si="125"/>
        <v>Gen.Refurbished.12</v>
      </c>
      <c r="AR186" s="17">
        <f>MATCH(AR$88&amp;"."&amp;AQ186,Tab.Measure.f.Default!$A:$A,0)</f>
        <v>23</v>
      </c>
      <c r="AS186" s="21">
        <f ca="1">OFFSET(Tab.Measure.f.Default!$A$1,AR186-1,MATCH(AS$87&amp;"_"&amp;$J186,Tab.Measure.f.Default!$1:$1,0)-1)</f>
        <v>0.75</v>
      </c>
      <c r="AT186" s="29" t="str">
        <f t="shared" si="126"/>
        <v>MUH.NA.03</v>
      </c>
      <c r="AU186" s="17">
        <f>MATCH(AU$88&amp;"."&amp;AT186,Tab.Measure.f.Default!$A:$A,0)</f>
        <v>38</v>
      </c>
      <c r="AV186" s="21">
        <f ca="1">OFFSET(Tab.Measure.f.Default!$A$1,AU186-1,MATCH(AV$87&amp;"_"&amp;$J186,Tab.Measure.f.Default!$1:$1,0)-1)</f>
        <v>0.37</v>
      </c>
      <c r="AW186" s="30">
        <f t="shared" si="114"/>
        <v>0.8</v>
      </c>
      <c r="AX186" s="9">
        <f t="shared" ca="1" si="127"/>
        <v>0.66666666666666663</v>
      </c>
      <c r="AY186" s="9">
        <f t="shared" ca="1" si="128"/>
        <v>3.4285714285714279</v>
      </c>
      <c r="AZ186" s="9">
        <f t="shared" ca="1" si="153"/>
        <v>4.0952380952380949</v>
      </c>
      <c r="BA186" s="9">
        <f t="shared" ca="1" si="154"/>
        <v>0.24418604651162792</v>
      </c>
      <c r="BB186" s="9">
        <f t="shared" ca="1" si="129"/>
        <v>0.49534883720930228</v>
      </c>
      <c r="BC186" s="32" t="str">
        <f t="shared" si="130"/>
        <v>D</v>
      </c>
      <c r="BD186" s="20" t="str">
        <f ca="1">OFFSET(Tab.Uncertainty.Levels!$A$1,MATCH(BD$88,Tab.Uncertainty.Levels!$A:$A,0)-1,MATCH(BD$87&amp;"_"&amp;BC186,Tab.Uncertainty.Levels!$1:$1,0)-1)</f>
        <v>Use of default values; building constructed until 1983</v>
      </c>
      <c r="BE186" s="24">
        <f ca="1">OFFSET(Tab.Uncertainty.Levels!$A$1,MATCH(BE$88,Tab.Uncertainty.Levels!$A:$A,0)-1,MATCH(BE$87&amp;"_"&amp;BC186,Tab.Uncertainty.Levels!$1:$1,0)-1)</f>
        <v>0.3</v>
      </c>
      <c r="BF186" s="32" t="str">
        <f t="shared" si="131"/>
        <v>-</v>
      </c>
      <c r="BG186" s="20" t="e">
        <f ca="1">OFFSET(Tab.Uncertainty.Levels!$A$1,MATCH(BG$88,Tab.Uncertainty.Levels!$A:$A,0)-1,MATCH(BG$87&amp;"_"&amp;BF186,Tab.Uncertainty.Levels!$1:$1,0)-1)</f>
        <v>#N/A</v>
      </c>
      <c r="BH186" s="24" t="e">
        <f ca="1">OFFSET(Tab.Uncertainty.Levels!$A$1,MATCH(BH$88,Tab.Uncertainty.Levels!$A:$A,0)-1,MATCH(BH$87&amp;"_"&amp;BF186,Tab.Uncertainty.Levels!$1:$1,0)-1)</f>
        <v>#N/A</v>
      </c>
      <c r="BI186" s="32" t="str">
        <f t="shared" si="137"/>
        <v>D</v>
      </c>
      <c r="BJ186" s="13">
        <f ca="1">IF(BF186="-",BE186,BH186)</f>
        <v>0.3</v>
      </c>
      <c r="BK186" s="32" t="str">
        <f>IF(OR($L186="NoDataSource",IFERROR(IF($S186="",#N/A,$S186),0)=0),IF(IFERROR(IF(U186="",#N/A,U186),0)=0,"E","D"),IF($L186="DesignDataPlusQA","A",IF($L186="DesignData","B","C")))</f>
        <v>C</v>
      </c>
      <c r="BL186" s="20" t="str">
        <f ca="1">OFFSET(Tab.Uncertainty.Levels!$A$1,MATCH(BL$88,Tab.Uncertainty.Levels!$A:$A,0)-1,MATCH(BL$87&amp;"_"&amp;BK186,Tab.Uncertainty.Levels!$1:$1,0)-1)</f>
        <v>Insulation thickness determined by inspection onsite / record or statement of owner</v>
      </c>
      <c r="BM186" s="24">
        <f ca="1">OFFSET(Tab.Uncertainty.Levels!$A$1,MATCH(BM$88,Tab.Uncertainty.Levels!$A:$A,0)-1,MATCH(BM$87&amp;"_"&amp;BK186,Tab.Uncertainty.Levels!$1:$1,0)-1)</f>
        <v>0.25</v>
      </c>
      <c r="BN186" s="34">
        <f ca="1">OFFSET(Tab.Uncertainty.Levels!$A$1,MATCH(BN$88,Tab.Uncertainty.Levels!$A:$A,0)-1,MATCH(BN$87&amp;"_"&amp;BK186,Tab.Uncertainty.Levels!$1:$1,0)-1)</f>
        <v>2</v>
      </c>
      <c r="BO186" s="13">
        <f ca="1">IFERROR(MIN(BM186,BN186/AN186),0)</f>
        <v>0.16666666666666666</v>
      </c>
      <c r="BP186" s="32" t="str">
        <f>IF(OR($L186="NoDataSource",IFERROR(IF($V186="",#N/A,$V186),0)=0),IF(IFERROR(IF(U186="",#N/A,U186),0)=0,"E","D"),IF($L186="DesignDataPlusQA","A",IF($L186="DesignData","B","C")))</f>
        <v>D</v>
      </c>
      <c r="BQ186" s="20" t="str">
        <f ca="1">OFFSET(Tab.Uncertainty.Levels!$A$1,MATCH(BQ$88,Tab.Uncertainty.Levels!$A:$A,0)-1,MATCH(BQ$87&amp;"_"&amp;BP186,Tab.Uncertainty.Levels!$1:$1,0)-1)</f>
        <v>Insulation available; no information about material</v>
      </c>
      <c r="BR186" s="97">
        <f ca="1">OFFSET(Tab.Uncertainty.Levels!$A$1,MATCH(BR$88,Tab.Uncertainty.Levels!$A:$A,0)-1,MATCH(BR$87&amp;"_"&amp;BP186,Tab.Uncertainty.Levels!$1:$1,0)-1)</f>
        <v>0.2</v>
      </c>
      <c r="BS186" s="32" t="str">
        <f>IF(L186="NoDataSource","D",IF(IFERROR(IF($T186="",#N/A,$T186),0)=0,IF(OR(IFERROR(IF($S186="",#N/A,$S186),0)&gt;0,$R186="Refurbish"),"D","E"),IF($L186="DesignDataPlusQA","A",IF($L186="DesignData","B","C"))))</f>
        <v>C</v>
      </c>
      <c r="BT186" s="20" t="str">
        <f ca="1">OFFSET(Tab.Uncertainty.Levels!$A$1,MATCH(BT$88,Tab.Uncertainty.Levels!$A:$A,0)-1,MATCH(BT$87&amp;"_"&amp;BS186,Tab.Uncertainty.Levels!$1:$1,0)-1)</f>
        <v>Insulation fraction determined by inspection onsite / record or statement of owner</v>
      </c>
      <c r="BU186" s="33">
        <f ca="1">OFFSET(Tab.Uncertainty.Levels!$A$1,MATCH(BU$88,Tab.Uncertainty.Levels!$A:$A,0)-1,MATCH(BU$87&amp;"_"&amp;BS186,Tab.Uncertainty.Levels!$1:$1,0)-1)</f>
        <v>0.2</v>
      </c>
      <c r="BV186" s="13">
        <f ca="1">IFERROR(MIN(BU186/AW186,1,(1-AW186)/AW186),0)</f>
        <v>0.24999999999999994</v>
      </c>
      <c r="BW186" s="96">
        <f ca="1">ABS(1+(AW186*(1/(1+AN186/100/AP186*AG186)^2-1)))*BJ186*$AG186</f>
        <v>9.9540292049756618E-2</v>
      </c>
      <c r="BX186" s="96">
        <f ca="1">ABS(-AG186+1/(1/AG186+AN186/100/AP186))*BV186*AW186</f>
        <v>0.25116279069767439</v>
      </c>
      <c r="BY186" s="96">
        <f ca="1">ABS(-AW186*AP186/((AP186/AG186+AN186/100)^2))*(BO186*AN186/100)</f>
        <v>2.7257977285018931E-2</v>
      </c>
      <c r="BZ186" s="202">
        <f ca="1">ABS(AW186*AN186/100/(1/AG186*AP186+AN186/100)^2)*(BR186*AP186)</f>
        <v>3.270957274202272E-2</v>
      </c>
      <c r="CA186" s="103">
        <f t="shared" ca="1" si="117"/>
        <v>0.27350307246360306</v>
      </c>
      <c r="CB186" s="37">
        <f t="shared" ca="1" si="132"/>
        <v>0.20094988535866362</v>
      </c>
      <c r="CC186" s="37">
        <f t="shared" ca="1" si="133"/>
        <v>0.50704225352112675</v>
      </c>
      <c r="CD186" s="37">
        <f t="shared" ca="1" si="134"/>
        <v>5.5027841467409112E-2</v>
      </c>
      <c r="CE186" s="37">
        <f t="shared" ca="1" si="135"/>
        <v>6.6033409760890949E-2</v>
      </c>
      <c r="CF186" s="13">
        <f t="shared" ca="1" si="136"/>
        <v>0.55214235286079505</v>
      </c>
      <c r="CG186" s="101">
        <f ca="1">AG186</f>
        <v>1.5</v>
      </c>
      <c r="CH186" s="101">
        <f>AW186</f>
        <v>0.8</v>
      </c>
      <c r="CI186" s="203">
        <f>IF(CH186&gt;0,AN186,0)</f>
        <v>12</v>
      </c>
      <c r="CJ186" s="102">
        <f ca="1">IF(AND(CH186&gt;0,CI186&gt;0),AP186,0)</f>
        <v>3.5000000000000003E-2</v>
      </c>
      <c r="CK186" s="102">
        <f ca="1">BB186</f>
        <v>0.49534883720930228</v>
      </c>
      <c r="CL186" s="37">
        <f t="shared" ref="CL186:CL216" ca="1" si="156">BJ186</f>
        <v>0.3</v>
      </c>
      <c r="CM186" s="37">
        <f t="shared" ref="CM186:CM216" ca="1" si="157">BV186</f>
        <v>0.24999999999999994</v>
      </c>
      <c r="CN186" s="37">
        <f t="shared" ref="CN186:CN216" ca="1" si="158">BO186</f>
        <v>0.16666666666666666</v>
      </c>
      <c r="CO186" s="37">
        <f t="shared" ref="CO186:CO216" ca="1" si="159">BR186</f>
        <v>0.2</v>
      </c>
      <c r="CP186" s="37">
        <f t="shared" ref="CP186:CP216" ca="1" si="160">CF186</f>
        <v>0.55214235286079505</v>
      </c>
      <c r="CQ186" s="95">
        <f t="shared" ref="CQ186:CQ216" ca="1" si="161">CG186*CL186</f>
        <v>0.44999999999999996</v>
      </c>
      <c r="CR186" s="95">
        <f t="shared" ref="CR186:CR216" ca="1" si="162">CH186*CM186</f>
        <v>0.19999999999999996</v>
      </c>
      <c r="CS186" s="95">
        <f t="shared" ref="CS186:CS216" ca="1" si="163">CI186*CN186</f>
        <v>2</v>
      </c>
      <c r="CT186" s="103">
        <f t="shared" ref="CT186:CT216" ca="1" si="164">CJ186*CO186</f>
        <v>7.000000000000001E-3</v>
      </c>
      <c r="CU186" s="95">
        <f t="shared" ref="CU186:CU216" ca="1" si="165">CK186*CP186</f>
        <v>0.27350307246360311</v>
      </c>
      <c r="CV186" s="37">
        <f ca="1">$CB186^2/$CF186^2</f>
        <v>0.13245653878943747</v>
      </c>
      <c r="CW186" s="37">
        <f ca="1">$CD186^2/$CF186^2</f>
        <v>9.9325973815000117E-3</v>
      </c>
      <c r="CX186" s="37">
        <f ca="1">$CE186^2/$CF186^2</f>
        <v>1.4302940229360026E-2</v>
      </c>
      <c r="CY186" s="37">
        <f ca="1">$CC186^2/$CF186^2</f>
        <v>0.8433079235997023</v>
      </c>
      <c r="DA186" s="98" t="s">
        <v>214</v>
      </c>
      <c r="DB186" s="36">
        <f ca="1">OFFSET($A$1,ROW(DB186)-1,MATCH(DA186,$1:$1,0)-1)</f>
        <v>12</v>
      </c>
      <c r="DC186" s="9">
        <f ca="1">BB186</f>
        <v>0.49534883720930228</v>
      </c>
      <c r="DD186" s="9">
        <f ca="1">$DC186+$CA186</f>
        <v>0.7688519096729054</v>
      </c>
      <c r="DE186" s="9">
        <f ca="1">$DC186-$CA186</f>
        <v>0.22184576474569923</v>
      </c>
      <c r="DF186" s="10">
        <f t="shared" ca="1" si="87"/>
        <v>0.55214235286079494</v>
      </c>
    </row>
    <row r="187" spans="1:110" s="8" customFormat="1" ht="32.4" customHeight="1">
      <c r="A187" s="206" t="s">
        <v>623</v>
      </c>
      <c r="B187" s="209" t="s">
        <v>2345</v>
      </c>
      <c r="C187" s="206" t="str">
        <f t="shared" ca="1" si="151"/>
        <v>Parameter-Variation: U_Original = 1,20 W/(m²K) - Year_Building = 1960</v>
      </c>
      <c r="D187" s="206"/>
      <c r="E187" s="206" t="s">
        <v>199</v>
      </c>
      <c r="F187" s="206" t="str">
        <f t="shared" ca="1" si="152"/>
        <v>1,20 W/(m²K) - Year_Building = 1960</v>
      </c>
      <c r="G187" s="206" t="s">
        <v>2170</v>
      </c>
      <c r="H187" s="206" t="s">
        <v>2171</v>
      </c>
      <c r="I187" s="156" t="s">
        <v>80</v>
      </c>
      <c r="J187" s="156" t="s">
        <v>134</v>
      </c>
      <c r="K187" s="156" t="s">
        <v>155</v>
      </c>
      <c r="L187" s="156" t="s">
        <v>66</v>
      </c>
      <c r="M187" s="156" t="s">
        <v>188</v>
      </c>
      <c r="N187" s="7">
        <v>1960</v>
      </c>
      <c r="O187" s="156">
        <v>1</v>
      </c>
      <c r="P187" s="156">
        <v>0</v>
      </c>
      <c r="Q187" s="156" t="s">
        <v>435</v>
      </c>
      <c r="R187" s="156" t="s">
        <v>58</v>
      </c>
      <c r="S187" s="19">
        <v>12</v>
      </c>
      <c r="T187" s="19">
        <v>0.8</v>
      </c>
      <c r="U187" s="19">
        <v>2016</v>
      </c>
      <c r="V187" s="19" t="e">
        <v>#N/A</v>
      </c>
      <c r="W187" s="28" t="s">
        <v>59</v>
      </c>
      <c r="X187" s="19" t="e">
        <v>#N/A</v>
      </c>
      <c r="Y187" s="105">
        <f ca="1">IFERROR(OFFSET(Tab.Const.ConstrBorder!$A$1,MATCH(Q187,Tab.Const.ConstrBorder!$A:$A,0)-1,MATCH(Y$87,Tab.Const.ConstrBorder!$1:$1,0)-1),0)</f>
        <v>0</v>
      </c>
      <c r="Z187" s="18">
        <f t="shared" si="110"/>
        <v>1960</v>
      </c>
      <c r="AA187" s="17">
        <f>MATCH(Z187,Tab.Year.Period!$11:$11,1)-3</f>
        <v>5</v>
      </c>
      <c r="AB187" s="17">
        <f>MATCH(AB$88&amp;"."&amp;TEXT(AA187,"00"),Tab.U.Default!$A:$A,0)</f>
        <v>28</v>
      </c>
      <c r="AC187" s="105">
        <f ca="1">OFFSET(Tab.U.Default!$A$1,$AB187-1,MATCH("U_Class_"&amp;IF($J187="TopCeiling","UpperCeiling",$J187)&amp;"_"&amp;AC$87,Tab.U.Default!$1:$1,0)-1)</f>
        <v>1.2</v>
      </c>
      <c r="AD187" s="105">
        <f ca="1">OFFSET(Tab.U.Default!$A$1,$AB187-1,MATCH("U_Class_"&amp;IF($J187="TopCeiling","UpperCeiling",$J187)&amp;"_"&amp;AD$87,Tab.U.Default!$1:$1,0)-1)</f>
        <v>1.2</v>
      </c>
      <c r="AE187" s="105">
        <f ca="1">OFFSET(Tab.U.Default!$A$1,$AB187-1,MATCH("U_Class_"&amp;IF($J187="TopCeiling","UpperCeiling",$J187)&amp;"_"&amp;AE$87,Tab.U.Default!$1:$1,0)-1)</f>
        <v>0.8</v>
      </c>
      <c r="AF187" s="26">
        <f t="shared" ca="1" si="96"/>
        <v>1.2</v>
      </c>
      <c r="AG187" s="26">
        <f t="shared" ca="1" si="155"/>
        <v>1.2</v>
      </c>
      <c r="AH187" s="18" t="str">
        <f t="shared" si="124"/>
        <v>Refurbish</v>
      </c>
      <c r="AI187" s="18" t="str">
        <f t="shared" si="111"/>
        <v>Add</v>
      </c>
      <c r="AJ187" s="18">
        <f t="shared" si="98"/>
        <v>2016</v>
      </c>
      <c r="AK187" s="17">
        <f>MATCH(AJ187,Tab.Year.Period!$11:$11,1)-3</f>
        <v>12</v>
      </c>
      <c r="AL187" s="17">
        <f>MATCH(AL$88&amp;"."&amp;TEXT(AK187,"00"),Tab.Insulation.Default!$A:$A,0)</f>
        <v>23</v>
      </c>
      <c r="AM187" s="20" t="e">
        <f ca="1">IF(ISNA(IF(S187="",#N/A,S187)),OFFSET(Tab.Insulation.Default!$A$1,$AL187-1,MATCH(AM$87&amp;"_"&amp;$K187,Tab.Insulation.Default!$1:$1,0)-1),#N/A)</f>
        <v>#N/A</v>
      </c>
      <c r="AN187" s="27">
        <f t="shared" si="112"/>
        <v>12</v>
      </c>
      <c r="AO187" s="22">
        <f ca="1">IF(ISNA(IF(V187="",#N/A,V187)),OFFSET(Tab.Insulation.Default!$A$1,$AL187-1,MATCH(AO$87&amp;"_"&amp;$K187,Tab.Insulation.Default!$1:$1,0)-1),#N/A)</f>
        <v>3.5000000000000003E-2</v>
      </c>
      <c r="AP187" s="23">
        <f t="shared" ca="1" si="113"/>
        <v>3.5000000000000003E-2</v>
      </c>
      <c r="AQ187" s="29" t="str">
        <f t="shared" si="125"/>
        <v>Gen.Refurbished.12</v>
      </c>
      <c r="AR187" s="17">
        <f>MATCH(AR$88&amp;"."&amp;AQ187,Tab.Measure.f.Default!$A:$A,0)</f>
        <v>23</v>
      </c>
      <c r="AS187" s="21">
        <f ca="1">OFFSET(Tab.Measure.f.Default!$A$1,AR187-1,MATCH(AS$87&amp;"_"&amp;$J187,Tab.Measure.f.Default!$1:$1,0)-1)</f>
        <v>0.75</v>
      </c>
      <c r="AT187" s="29" t="str">
        <f t="shared" si="126"/>
        <v>MUH.NA.05</v>
      </c>
      <c r="AU187" s="17">
        <f>MATCH(AU$88&amp;"."&amp;AT187,Tab.Measure.f.Default!$A:$A,0)</f>
        <v>40</v>
      </c>
      <c r="AV187" s="21">
        <f ca="1">OFFSET(Tab.Measure.f.Default!$A$1,AU187-1,MATCH(AV$87&amp;"_"&amp;$J187,Tab.Measure.f.Default!$1:$1,0)-1)</f>
        <v>0.37</v>
      </c>
      <c r="AW187" s="30">
        <f t="shared" si="114"/>
        <v>0.8</v>
      </c>
      <c r="AX187" s="9">
        <f t="shared" ca="1" si="127"/>
        <v>0.83333333333333337</v>
      </c>
      <c r="AY187" s="9">
        <f t="shared" ca="1" si="128"/>
        <v>3.4285714285714279</v>
      </c>
      <c r="AZ187" s="9">
        <f t="shared" ca="1" si="153"/>
        <v>4.261904761904761</v>
      </c>
      <c r="BA187" s="9">
        <f t="shared" ca="1" si="154"/>
        <v>0.23463687150837995</v>
      </c>
      <c r="BB187" s="9">
        <f t="shared" ca="1" si="129"/>
        <v>0.42770949720670393</v>
      </c>
      <c r="BC187" s="32" t="str">
        <f t="shared" si="130"/>
        <v>D</v>
      </c>
      <c r="BD187" s="20" t="str">
        <f ca="1">OFFSET(Tab.Uncertainty.Levels!$A$1,MATCH(BD$88,Tab.Uncertainty.Levels!$A:$A,0)-1,MATCH(BD$87&amp;"_"&amp;BC187,Tab.Uncertainty.Levels!$1:$1,0)-1)</f>
        <v>Use of default values; building constructed until 1983</v>
      </c>
      <c r="BE187" s="24">
        <f ca="1">OFFSET(Tab.Uncertainty.Levels!$A$1,MATCH(BE$88,Tab.Uncertainty.Levels!$A:$A,0)-1,MATCH(BE$87&amp;"_"&amp;BC187,Tab.Uncertainty.Levels!$1:$1,0)-1)</f>
        <v>0.3</v>
      </c>
      <c r="BF187" s="32" t="str">
        <f t="shared" si="131"/>
        <v>-</v>
      </c>
      <c r="BG187" s="20" t="e">
        <f ca="1">OFFSET(Tab.Uncertainty.Levels!$A$1,MATCH(BG$88,Tab.Uncertainty.Levels!$A:$A,0)-1,MATCH(BG$87&amp;"_"&amp;BF187,Tab.Uncertainty.Levels!$1:$1,0)-1)</f>
        <v>#N/A</v>
      </c>
      <c r="BH187" s="24" t="e">
        <f ca="1">OFFSET(Tab.Uncertainty.Levels!$A$1,MATCH(BH$88,Tab.Uncertainty.Levels!$A:$A,0)-1,MATCH(BH$87&amp;"_"&amp;BF187,Tab.Uncertainty.Levels!$1:$1,0)-1)</f>
        <v>#N/A</v>
      </c>
      <c r="BI187" s="32" t="str">
        <f t="shared" si="137"/>
        <v>D</v>
      </c>
      <c r="BJ187" s="13">
        <f ca="1">IF(BF187="-",BE187,BH187)</f>
        <v>0.3</v>
      </c>
      <c r="BK187" s="32" t="str">
        <f>IF(OR($L187="NoDataSource",IFERROR(IF($S187="",#N/A,$S187),0)=0),IF(IFERROR(IF(U187="",#N/A,U187),0)=0,"E","D"),IF($L187="DesignDataPlusQA","A",IF($L187="DesignData","B","C")))</f>
        <v>C</v>
      </c>
      <c r="BL187" s="20" t="str">
        <f ca="1">OFFSET(Tab.Uncertainty.Levels!$A$1,MATCH(BL$88,Tab.Uncertainty.Levels!$A:$A,0)-1,MATCH(BL$87&amp;"_"&amp;BK187,Tab.Uncertainty.Levels!$1:$1,0)-1)</f>
        <v>Insulation thickness determined by inspection onsite / record or statement of owner</v>
      </c>
      <c r="BM187" s="24">
        <f ca="1">OFFSET(Tab.Uncertainty.Levels!$A$1,MATCH(BM$88,Tab.Uncertainty.Levels!$A:$A,0)-1,MATCH(BM$87&amp;"_"&amp;BK187,Tab.Uncertainty.Levels!$1:$1,0)-1)</f>
        <v>0.25</v>
      </c>
      <c r="BN187" s="34">
        <f ca="1">OFFSET(Tab.Uncertainty.Levels!$A$1,MATCH(BN$88,Tab.Uncertainty.Levels!$A:$A,0)-1,MATCH(BN$87&amp;"_"&amp;BK187,Tab.Uncertainty.Levels!$1:$1,0)-1)</f>
        <v>2</v>
      </c>
      <c r="BO187" s="13">
        <f ca="1">IFERROR(MIN(BM187,BN187/AN187),0)</f>
        <v>0.16666666666666666</v>
      </c>
      <c r="BP187" s="32" t="str">
        <f>IF(OR($L187="NoDataSource",IFERROR(IF($V187="",#N/A,$V187),0)=0),IF(IFERROR(IF(U187="",#N/A,U187),0)=0,"E","D"),IF($L187="DesignDataPlusQA","A",IF($L187="DesignData","B","C")))</f>
        <v>D</v>
      </c>
      <c r="BQ187" s="20" t="str">
        <f ca="1">OFFSET(Tab.Uncertainty.Levels!$A$1,MATCH(BQ$88,Tab.Uncertainty.Levels!$A:$A,0)-1,MATCH(BQ$87&amp;"_"&amp;BP187,Tab.Uncertainty.Levels!$1:$1,0)-1)</f>
        <v>Insulation available; no information about material</v>
      </c>
      <c r="BR187" s="97">
        <f ca="1">OFFSET(Tab.Uncertainty.Levels!$A$1,MATCH(BR$88,Tab.Uncertainty.Levels!$A:$A,0)-1,MATCH(BR$87&amp;"_"&amp;BP187,Tab.Uncertainty.Levels!$1:$1,0)-1)</f>
        <v>0.2</v>
      </c>
      <c r="BS187" s="32" t="str">
        <f>IF(L187="NoDataSource","D",IF(IFERROR(IF($T187="",#N/A,$T187),0)=0,IF(OR(IFERROR(IF($S187="",#N/A,$S187),0)&gt;0,$R187="Refurbish"),"D","E"),IF($L187="DesignDataPlusQA","A",IF($L187="DesignData","B","C"))))</f>
        <v>C</v>
      </c>
      <c r="BT187" s="20" t="str">
        <f ca="1">OFFSET(Tab.Uncertainty.Levels!$A$1,MATCH(BT$88,Tab.Uncertainty.Levels!$A:$A,0)-1,MATCH(BT$87&amp;"_"&amp;BS187,Tab.Uncertainty.Levels!$1:$1,0)-1)</f>
        <v>Insulation fraction determined by inspection onsite / record or statement of owner</v>
      </c>
      <c r="BU187" s="33">
        <f ca="1">OFFSET(Tab.Uncertainty.Levels!$A$1,MATCH(BU$88,Tab.Uncertainty.Levels!$A:$A,0)-1,MATCH(BU$87&amp;"_"&amp;BS187,Tab.Uncertainty.Levels!$1:$1,0)-1)</f>
        <v>0.2</v>
      </c>
      <c r="BV187" s="13">
        <f ca="1">IFERROR(MIN(BU187/AW187,1,(1-AW187)/AW187),0)</f>
        <v>0.24999999999999994</v>
      </c>
      <c r="BW187" s="96">
        <f ca="1">ABS(1+(AW187*(1/(1+AN187/100/AP187*AG187)^2-1)))*BJ187*$AG187</f>
        <v>8.3010892294247976E-2</v>
      </c>
      <c r="BX187" s="96">
        <f ca="1">ABS(-AG187+1/(1/AG187+AN187/100/AP187))*BV187*AW187</f>
        <v>0.19307262569832395</v>
      </c>
      <c r="BY187" s="96">
        <f ca="1">ABS(-AW187*AP187/((AP187/AG187+AN187/100)^2))*(BO187*AN187/100)</f>
        <v>2.516775381542399E-2</v>
      </c>
      <c r="BZ187" s="202">
        <f ca="1">ABS(AW187*AN187/100/(1/AG187*AP187+AN187/100)^2)*(BR187*AP187)</f>
        <v>3.0201304578508798E-2</v>
      </c>
      <c r="CA187" s="103">
        <f t="shared" ca="1" si="117"/>
        <v>0.21380687936521123</v>
      </c>
      <c r="CB187" s="37">
        <f t="shared" ca="1" si="132"/>
        <v>0.19408241536925794</v>
      </c>
      <c r="CC187" s="37">
        <f t="shared" ca="1" si="133"/>
        <v>0.45141065830720983</v>
      </c>
      <c r="CD187" s="37">
        <f t="shared" ca="1" si="134"/>
        <v>5.8843102572634455E-2</v>
      </c>
      <c r="CE187" s="37">
        <f t="shared" ca="1" si="135"/>
        <v>7.0611723087161377E-2</v>
      </c>
      <c r="CF187" s="13">
        <f t="shared" ca="1" si="136"/>
        <v>0.49988808002054347</v>
      </c>
      <c r="CG187" s="101">
        <f ca="1">AG187</f>
        <v>1.2</v>
      </c>
      <c r="CH187" s="101">
        <f>AW187</f>
        <v>0.8</v>
      </c>
      <c r="CI187" s="203">
        <f>IF(CH187&gt;0,AN187,0)</f>
        <v>12</v>
      </c>
      <c r="CJ187" s="102">
        <f ca="1">IF(AND(CH187&gt;0,CI187&gt;0),AP187,0)</f>
        <v>3.5000000000000003E-2</v>
      </c>
      <c r="CK187" s="102">
        <f ca="1">BB187</f>
        <v>0.42770949720670393</v>
      </c>
      <c r="CL187" s="37">
        <f t="shared" ca="1" si="156"/>
        <v>0.3</v>
      </c>
      <c r="CM187" s="37">
        <f t="shared" ca="1" si="157"/>
        <v>0.24999999999999994</v>
      </c>
      <c r="CN187" s="37">
        <f t="shared" ca="1" si="158"/>
        <v>0.16666666666666666</v>
      </c>
      <c r="CO187" s="37">
        <f t="shared" ca="1" si="159"/>
        <v>0.2</v>
      </c>
      <c r="CP187" s="37">
        <f t="shared" ca="1" si="160"/>
        <v>0.49988808002054347</v>
      </c>
      <c r="CQ187" s="95">
        <f t="shared" ca="1" si="161"/>
        <v>0.36</v>
      </c>
      <c r="CR187" s="95">
        <f t="shared" ca="1" si="162"/>
        <v>0.19999999999999996</v>
      </c>
      <c r="CS187" s="95">
        <f t="shared" ca="1" si="163"/>
        <v>2</v>
      </c>
      <c r="CT187" s="103">
        <f t="shared" ca="1" si="164"/>
        <v>7.000000000000001E-3</v>
      </c>
      <c r="CU187" s="95">
        <f t="shared" ca="1" si="165"/>
        <v>0.21380687936521123</v>
      </c>
      <c r="CV187" s="37">
        <f ca="1">$CB187^2/$CF187^2</f>
        <v>0.15073941127681745</v>
      </c>
      <c r="CW187" s="37">
        <f ca="1">$CD187^2/$CF187^2</f>
        <v>1.3856245350016141E-2</v>
      </c>
      <c r="CX187" s="37">
        <f ca="1">$CE187^2/$CF187^2</f>
        <v>1.995299330402326E-2</v>
      </c>
      <c r="CY187" s="37">
        <f ca="1">$CC187^2/$CF187^2</f>
        <v>0.81545135006914304</v>
      </c>
      <c r="DA187" s="98" t="s">
        <v>214</v>
      </c>
      <c r="DB187" s="36">
        <f ca="1">OFFSET($A$1,ROW(DB187)-1,MATCH(DA187,$1:$1,0)-1)</f>
        <v>12</v>
      </c>
      <c r="DC187" s="9">
        <f ca="1">BB187</f>
        <v>0.42770949720670393</v>
      </c>
      <c r="DD187" s="9">
        <f ca="1">$DC187+$CA187</f>
        <v>0.64151637657191518</v>
      </c>
      <c r="DE187" s="9">
        <f ca="1">$DC187-$CA187</f>
        <v>0.2139026178414927</v>
      </c>
      <c r="DF187" s="10">
        <f t="shared" ca="1" si="87"/>
        <v>0.49988808002054352</v>
      </c>
    </row>
    <row r="188" spans="1:110" s="8" customFormat="1" ht="32.4" customHeight="1">
      <c r="A188" s="206" t="s">
        <v>624</v>
      </c>
      <c r="B188" s="209" t="s">
        <v>2345</v>
      </c>
      <c r="C188" s="206" t="str">
        <f t="shared" ca="1" si="151"/>
        <v>Parameter-Variation: U_Original = 1,00 W/(m²K) - Year_Building = 1970</v>
      </c>
      <c r="D188" s="206"/>
      <c r="E188" s="206" t="s">
        <v>199</v>
      </c>
      <c r="F188" s="206" t="str">
        <f t="shared" ca="1" si="152"/>
        <v>1,00 W/(m²K) - Year_Building = 1970</v>
      </c>
      <c r="G188" s="206" t="s">
        <v>2170</v>
      </c>
      <c r="H188" s="206" t="s">
        <v>2171</v>
      </c>
      <c r="I188" s="156" t="s">
        <v>80</v>
      </c>
      <c r="J188" s="156" t="s">
        <v>134</v>
      </c>
      <c r="K188" s="156" t="s">
        <v>155</v>
      </c>
      <c r="L188" s="156" t="s">
        <v>66</v>
      </c>
      <c r="M188" s="156" t="s">
        <v>188</v>
      </c>
      <c r="N188" s="7">
        <v>1970</v>
      </c>
      <c r="O188" s="156">
        <v>1</v>
      </c>
      <c r="P188" s="156">
        <v>0</v>
      </c>
      <c r="Q188" s="156" t="s">
        <v>435</v>
      </c>
      <c r="R188" s="156" t="s">
        <v>58</v>
      </c>
      <c r="S188" s="19">
        <v>12</v>
      </c>
      <c r="T188" s="19">
        <v>0.8</v>
      </c>
      <c r="U188" s="19">
        <v>2016</v>
      </c>
      <c r="V188" s="19" t="e">
        <v>#N/A</v>
      </c>
      <c r="W188" s="28" t="s">
        <v>59</v>
      </c>
      <c r="X188" s="19" t="e">
        <v>#N/A</v>
      </c>
      <c r="Y188" s="105">
        <f ca="1">IFERROR(OFFSET(Tab.Const.ConstrBorder!$A$1,MATCH(Q188,Tab.Const.ConstrBorder!$A:$A,0)-1,MATCH(Y$87,Tab.Const.ConstrBorder!$1:$1,0)-1),0)</f>
        <v>0</v>
      </c>
      <c r="Z188" s="18">
        <f t="shared" si="110"/>
        <v>1970</v>
      </c>
      <c r="AA188" s="17">
        <f>MATCH(Z188,Tab.Year.Period!$11:$11,1)-3</f>
        <v>6</v>
      </c>
      <c r="AB188" s="17">
        <f>MATCH(AB$88&amp;"."&amp;TEXT(AA188,"00"),Tab.U.Default!$A:$A,0)</f>
        <v>29</v>
      </c>
      <c r="AC188" s="105">
        <f ca="1">OFFSET(Tab.U.Default!$A$1,$AB188-1,MATCH("U_Class_"&amp;IF($J188="TopCeiling","UpperCeiling",$J188)&amp;"_"&amp;AC$87,Tab.U.Default!$1:$1,0)-1)</f>
        <v>1</v>
      </c>
      <c r="AD188" s="105">
        <f ca="1">OFFSET(Tab.U.Default!$A$1,$AB188-1,MATCH("U_Class_"&amp;IF($J188="TopCeiling","UpperCeiling",$J188)&amp;"_"&amp;AD$87,Tab.U.Default!$1:$1,0)-1)</f>
        <v>1</v>
      </c>
      <c r="AE188" s="105">
        <f ca="1">OFFSET(Tab.U.Default!$A$1,$AB188-1,MATCH("U_Class_"&amp;IF($J188="TopCeiling","UpperCeiling",$J188)&amp;"_"&amp;AE$87,Tab.U.Default!$1:$1,0)-1)</f>
        <v>0.6</v>
      </c>
      <c r="AF188" s="26">
        <f t="shared" ca="1" si="96"/>
        <v>1</v>
      </c>
      <c r="AG188" s="26">
        <f t="shared" ca="1" si="155"/>
        <v>1</v>
      </c>
      <c r="AH188" s="18" t="str">
        <f t="shared" si="124"/>
        <v>Refurbish</v>
      </c>
      <c r="AI188" s="18" t="str">
        <f t="shared" si="111"/>
        <v>Add</v>
      </c>
      <c r="AJ188" s="18">
        <f t="shared" si="98"/>
        <v>2016</v>
      </c>
      <c r="AK188" s="17">
        <f>MATCH(AJ188,Tab.Year.Period!$11:$11,1)-3</f>
        <v>12</v>
      </c>
      <c r="AL188" s="17">
        <f>MATCH(AL$88&amp;"."&amp;TEXT(AK188,"00"),Tab.Insulation.Default!$A:$A,0)</f>
        <v>23</v>
      </c>
      <c r="AM188" s="20" t="e">
        <f ca="1">IF(ISNA(IF(S188="",#N/A,S188)),OFFSET(Tab.Insulation.Default!$A$1,$AL188-1,MATCH(AM$87&amp;"_"&amp;$K188,Tab.Insulation.Default!$1:$1,0)-1),#N/A)</f>
        <v>#N/A</v>
      </c>
      <c r="AN188" s="27">
        <f t="shared" si="112"/>
        <v>12</v>
      </c>
      <c r="AO188" s="22">
        <f ca="1">IF(ISNA(IF(V188="",#N/A,V188)),OFFSET(Tab.Insulation.Default!$A$1,$AL188-1,MATCH(AO$87&amp;"_"&amp;$K188,Tab.Insulation.Default!$1:$1,0)-1),#N/A)</f>
        <v>3.5000000000000003E-2</v>
      </c>
      <c r="AP188" s="23">
        <f t="shared" ca="1" si="113"/>
        <v>3.5000000000000003E-2</v>
      </c>
      <c r="AQ188" s="29" t="str">
        <f t="shared" si="125"/>
        <v>Gen.Refurbished.12</v>
      </c>
      <c r="AR188" s="17">
        <f>MATCH(AR$88&amp;"."&amp;AQ188,Tab.Measure.f.Default!$A:$A,0)</f>
        <v>23</v>
      </c>
      <c r="AS188" s="21">
        <f ca="1">OFFSET(Tab.Measure.f.Default!$A$1,AR188-1,MATCH(AS$87&amp;"_"&amp;$J188,Tab.Measure.f.Default!$1:$1,0)-1)</f>
        <v>0.75</v>
      </c>
      <c r="AT188" s="29" t="str">
        <f t="shared" si="126"/>
        <v>MUH.NA.06</v>
      </c>
      <c r="AU188" s="17">
        <f>MATCH(AU$88&amp;"."&amp;AT188,Tab.Measure.f.Default!$A:$A,0)</f>
        <v>41</v>
      </c>
      <c r="AV188" s="21">
        <f ca="1">OFFSET(Tab.Measure.f.Default!$A$1,AU188-1,MATCH(AV$87&amp;"_"&amp;$J188,Tab.Measure.f.Default!$1:$1,0)-1)</f>
        <v>0.37</v>
      </c>
      <c r="AW188" s="30">
        <f t="shared" si="114"/>
        <v>0.8</v>
      </c>
      <c r="AX188" s="9">
        <f t="shared" ca="1" si="127"/>
        <v>1</v>
      </c>
      <c r="AY188" s="9">
        <f t="shared" ca="1" si="128"/>
        <v>3.4285714285714279</v>
      </c>
      <c r="AZ188" s="9">
        <f t="shared" ca="1" si="153"/>
        <v>4.4285714285714279</v>
      </c>
      <c r="BA188" s="9">
        <f t="shared" ca="1" si="154"/>
        <v>0.22580645161290325</v>
      </c>
      <c r="BB188" s="9">
        <f t="shared" ca="1" si="129"/>
        <v>0.38064516129032255</v>
      </c>
      <c r="BC188" s="32" t="str">
        <f t="shared" si="130"/>
        <v>D</v>
      </c>
      <c r="BD188" s="20" t="str">
        <f ca="1">OFFSET(Tab.Uncertainty.Levels!$A$1,MATCH(BD$88,Tab.Uncertainty.Levels!$A:$A,0)-1,MATCH(BD$87&amp;"_"&amp;BC188,Tab.Uncertainty.Levels!$1:$1,0)-1)</f>
        <v>Use of default values; building constructed until 1983</v>
      </c>
      <c r="BE188" s="24">
        <f ca="1">OFFSET(Tab.Uncertainty.Levels!$A$1,MATCH(BE$88,Tab.Uncertainty.Levels!$A:$A,0)-1,MATCH(BE$87&amp;"_"&amp;BC188,Tab.Uncertainty.Levels!$1:$1,0)-1)</f>
        <v>0.3</v>
      </c>
      <c r="BF188" s="32" t="str">
        <f t="shared" si="131"/>
        <v>-</v>
      </c>
      <c r="BG188" s="20" t="e">
        <f ca="1">OFFSET(Tab.Uncertainty.Levels!$A$1,MATCH(BG$88,Tab.Uncertainty.Levels!$A:$A,0)-1,MATCH(BG$87&amp;"_"&amp;BF188,Tab.Uncertainty.Levels!$1:$1,0)-1)</f>
        <v>#N/A</v>
      </c>
      <c r="BH188" s="24" t="e">
        <f ca="1">OFFSET(Tab.Uncertainty.Levels!$A$1,MATCH(BH$88,Tab.Uncertainty.Levels!$A:$A,0)-1,MATCH(BH$87&amp;"_"&amp;BF188,Tab.Uncertainty.Levels!$1:$1,0)-1)</f>
        <v>#N/A</v>
      </c>
      <c r="BI188" s="32" t="str">
        <f t="shared" si="137"/>
        <v>D</v>
      </c>
      <c r="BJ188" s="13">
        <f ca="1">IF(BF188="-",BE188,BH188)</f>
        <v>0.3</v>
      </c>
      <c r="BK188" s="32" t="str">
        <f>IF(OR($L188="NoDataSource",IFERROR(IF($S188="",#N/A,$S188),0)=0),IF(IFERROR(IF(U188="",#N/A,U188),0)=0,"E","D"),IF($L188="DesignDataPlusQA","A",IF($L188="DesignData","B","C")))</f>
        <v>C</v>
      </c>
      <c r="BL188" s="20" t="str">
        <f ca="1">OFFSET(Tab.Uncertainty.Levels!$A$1,MATCH(BL$88,Tab.Uncertainty.Levels!$A:$A,0)-1,MATCH(BL$87&amp;"_"&amp;BK188,Tab.Uncertainty.Levels!$1:$1,0)-1)</f>
        <v>Insulation thickness determined by inspection onsite / record or statement of owner</v>
      </c>
      <c r="BM188" s="24">
        <f ca="1">OFFSET(Tab.Uncertainty.Levels!$A$1,MATCH(BM$88,Tab.Uncertainty.Levels!$A:$A,0)-1,MATCH(BM$87&amp;"_"&amp;BK188,Tab.Uncertainty.Levels!$1:$1,0)-1)</f>
        <v>0.25</v>
      </c>
      <c r="BN188" s="34">
        <f ca="1">OFFSET(Tab.Uncertainty.Levels!$A$1,MATCH(BN$88,Tab.Uncertainty.Levels!$A:$A,0)-1,MATCH(BN$87&amp;"_"&amp;BK188,Tab.Uncertainty.Levels!$1:$1,0)-1)</f>
        <v>2</v>
      </c>
      <c r="BO188" s="13">
        <f ca="1">IFERROR(MIN(BM188,BN188/AN188),0)</f>
        <v>0.16666666666666666</v>
      </c>
      <c r="BP188" s="32" t="str">
        <f>IF(OR($L188="NoDataSource",IFERROR(IF($V188="",#N/A,$V188),0)=0),IF(IFERROR(IF(U188="",#N/A,U188),0)=0,"E","D"),IF($L188="DesignDataPlusQA","A",IF($L188="DesignData","B","C")))</f>
        <v>D</v>
      </c>
      <c r="BQ188" s="20" t="str">
        <f ca="1">OFFSET(Tab.Uncertainty.Levels!$A$1,MATCH(BQ$88,Tab.Uncertainty.Levels!$A:$A,0)-1,MATCH(BQ$87&amp;"_"&amp;BP188,Tab.Uncertainty.Levels!$1:$1,0)-1)</f>
        <v>Insulation available; no information about material</v>
      </c>
      <c r="BR188" s="97">
        <f ca="1">OFFSET(Tab.Uncertainty.Levels!$A$1,MATCH(BR$88,Tab.Uncertainty.Levels!$A:$A,0)-1,MATCH(BR$87&amp;"_"&amp;BP188,Tab.Uncertainty.Levels!$1:$1,0)-1)</f>
        <v>0.2</v>
      </c>
      <c r="BS188" s="32" t="str">
        <f>IF(L188="NoDataSource","D",IF(IFERROR(IF($T188="",#N/A,$T188),0)=0,IF(OR(IFERROR(IF($S188="",#N/A,$S188),0)&gt;0,$R188="Refurbish"),"D","E"),IF($L188="DesignDataPlusQA","A",IF($L188="DesignData","B","C"))))</f>
        <v>C</v>
      </c>
      <c r="BT188" s="20" t="str">
        <f ca="1">OFFSET(Tab.Uncertainty.Levels!$A$1,MATCH(BT$88,Tab.Uncertainty.Levels!$A:$A,0)-1,MATCH(BT$87&amp;"_"&amp;BS188,Tab.Uncertainty.Levels!$1:$1,0)-1)</f>
        <v>Insulation fraction determined by inspection onsite / record or statement of owner</v>
      </c>
      <c r="BU188" s="33">
        <f ca="1">OFFSET(Tab.Uncertainty.Levels!$A$1,MATCH(BU$88,Tab.Uncertainty.Levels!$A:$A,0)-1,MATCH(BU$87&amp;"_"&amp;BS188,Tab.Uncertainty.Levels!$1:$1,0)-1)</f>
        <v>0.2</v>
      </c>
      <c r="BV188" s="13">
        <f ca="1">IFERROR(MIN(BU188/AW188,1,(1-AW188)/AW188),0)</f>
        <v>0.24999999999999994</v>
      </c>
      <c r="BW188" s="96">
        <f ca="1">ABS(1+(AW188*(1/(1+AN188/100/AP188*AG188)^2-1)))*BJ188*$AG188</f>
        <v>7.2237252861602472E-2</v>
      </c>
      <c r="BX188" s="96">
        <f ca="1">ABS(-AG188+1/(1/AG188+AN188/100/AP188))*BV188*AW188</f>
        <v>0.15483870967741931</v>
      </c>
      <c r="BY188" s="96">
        <f ca="1">ABS(-AW188*AP188/((AP188/AG188+AN188/100)^2))*(BO188*AN188/100)</f>
        <v>2.3309053069719043E-2</v>
      </c>
      <c r="BZ188" s="202">
        <f ca="1">ABS(AW188*AN188/100/(1/AG188*AP188+AN188/100)^2)*(BR188*AP188)</f>
        <v>2.7970863683662858E-2</v>
      </c>
      <c r="CA188" s="103">
        <f t="shared" ca="1" si="117"/>
        <v>0.17469667394022206</v>
      </c>
      <c r="CB188" s="37">
        <f t="shared" ca="1" si="132"/>
        <v>0.18977583378895566</v>
      </c>
      <c r="CC188" s="37">
        <f t="shared" ca="1" si="133"/>
        <v>0.40677966101694907</v>
      </c>
      <c r="CD188" s="37">
        <f t="shared" ca="1" si="134"/>
        <v>6.1235647895024607E-2</v>
      </c>
      <c r="CE188" s="37">
        <f t="shared" ca="1" si="135"/>
        <v>7.3482777474029551E-2</v>
      </c>
      <c r="CF188" s="13">
        <f t="shared" ca="1" si="136"/>
        <v>0.45894888916499021</v>
      </c>
      <c r="CG188" s="101">
        <f ca="1">AG188</f>
        <v>1</v>
      </c>
      <c r="CH188" s="101">
        <f>AW188</f>
        <v>0.8</v>
      </c>
      <c r="CI188" s="203">
        <f>IF(CH188&gt;0,AN188,0)</f>
        <v>12</v>
      </c>
      <c r="CJ188" s="102">
        <f ca="1">IF(AND(CH188&gt;0,CI188&gt;0),AP188,0)</f>
        <v>3.5000000000000003E-2</v>
      </c>
      <c r="CK188" s="102">
        <f ca="1">BB188</f>
        <v>0.38064516129032255</v>
      </c>
      <c r="CL188" s="37">
        <f t="shared" ca="1" si="156"/>
        <v>0.3</v>
      </c>
      <c r="CM188" s="37">
        <f t="shared" ca="1" si="157"/>
        <v>0.24999999999999994</v>
      </c>
      <c r="CN188" s="37">
        <f t="shared" ca="1" si="158"/>
        <v>0.16666666666666666</v>
      </c>
      <c r="CO188" s="37">
        <f t="shared" ca="1" si="159"/>
        <v>0.2</v>
      </c>
      <c r="CP188" s="37">
        <f t="shared" ca="1" si="160"/>
        <v>0.45894888916499021</v>
      </c>
      <c r="CQ188" s="95">
        <f t="shared" ca="1" si="161"/>
        <v>0.3</v>
      </c>
      <c r="CR188" s="95">
        <f t="shared" ca="1" si="162"/>
        <v>0.19999999999999996</v>
      </c>
      <c r="CS188" s="95">
        <f t="shared" ca="1" si="163"/>
        <v>2</v>
      </c>
      <c r="CT188" s="103">
        <f t="shared" ca="1" si="164"/>
        <v>7.000000000000001E-3</v>
      </c>
      <c r="CU188" s="95">
        <f t="shared" ca="1" si="165"/>
        <v>0.17469667394022206</v>
      </c>
      <c r="CV188" s="37">
        <f ca="1">$CB188^2/$CF188^2</f>
        <v>0.17098309352548102</v>
      </c>
      <c r="CW188" s="37">
        <f ca="1">$CD188^2/$CF188^2</f>
        <v>1.7802458757412518E-2</v>
      </c>
      <c r="CX188" s="37">
        <f ca="1">$CE188^2/$CF188^2</f>
        <v>2.5635540610674037E-2</v>
      </c>
      <c r="CY188" s="37">
        <f ca="1">$CC188^2/$CF188^2</f>
        <v>0.78557890710643241</v>
      </c>
      <c r="DA188" s="98" t="s">
        <v>214</v>
      </c>
      <c r="DB188" s="36">
        <f ca="1">OFFSET($A$1,ROW(DB188)-1,MATCH(DA188,$1:$1,0)-1)</f>
        <v>12</v>
      </c>
      <c r="DC188" s="9">
        <f ca="1">BB188</f>
        <v>0.38064516129032255</v>
      </c>
      <c r="DD188" s="9">
        <f ca="1">$DC188+$CA188</f>
        <v>0.55534183523054459</v>
      </c>
      <c r="DE188" s="9">
        <f ca="1">$DC188-$CA188</f>
        <v>0.20594848735010049</v>
      </c>
      <c r="DF188" s="10">
        <f t="shared" ca="1" si="87"/>
        <v>0.4589488891649901</v>
      </c>
    </row>
    <row r="189" spans="1:110" s="8" customFormat="1" ht="32.4" customHeight="1">
      <c r="A189" s="206" t="s">
        <v>625</v>
      </c>
      <c r="B189" s="209" t="s">
        <v>2345</v>
      </c>
      <c r="C189" s="206" t="str">
        <f t="shared" ca="1" si="151"/>
        <v>Parameter-Variation: U_Original = 0,80 W/(m²K) - Year_Building = 1980</v>
      </c>
      <c r="D189" s="206"/>
      <c r="E189" s="206" t="s">
        <v>199</v>
      </c>
      <c r="F189" s="206" t="str">
        <f t="shared" ca="1" si="152"/>
        <v>0,80 W/(m²K) - Year_Building = 1980</v>
      </c>
      <c r="G189" s="206" t="s">
        <v>2170</v>
      </c>
      <c r="H189" s="206" t="s">
        <v>2171</v>
      </c>
      <c r="I189" s="156" t="s">
        <v>80</v>
      </c>
      <c r="J189" s="156" t="s">
        <v>134</v>
      </c>
      <c r="K189" s="156" t="s">
        <v>155</v>
      </c>
      <c r="L189" s="156" t="s">
        <v>66</v>
      </c>
      <c r="M189" s="156" t="s">
        <v>188</v>
      </c>
      <c r="N189" s="7">
        <v>1980</v>
      </c>
      <c r="O189" s="156">
        <v>1</v>
      </c>
      <c r="P189" s="156">
        <v>0</v>
      </c>
      <c r="Q189" s="156" t="s">
        <v>435</v>
      </c>
      <c r="R189" s="156" t="s">
        <v>58</v>
      </c>
      <c r="S189" s="19">
        <v>12</v>
      </c>
      <c r="T189" s="19">
        <v>0.8</v>
      </c>
      <c r="U189" s="19">
        <v>2016</v>
      </c>
      <c r="V189" s="19" t="e">
        <v>#N/A</v>
      </c>
      <c r="W189" s="28" t="s">
        <v>59</v>
      </c>
      <c r="X189" s="19" t="e">
        <v>#N/A</v>
      </c>
      <c r="Y189" s="105">
        <f ca="1">IFERROR(OFFSET(Tab.Const.ConstrBorder!$A$1,MATCH(Q189,Tab.Const.ConstrBorder!$A:$A,0)-1,MATCH(Y$87,Tab.Const.ConstrBorder!$1:$1,0)-1),0)</f>
        <v>0</v>
      </c>
      <c r="Z189" s="18">
        <f t="shared" si="110"/>
        <v>1980</v>
      </c>
      <c r="AA189" s="17">
        <f>MATCH(Z189,Tab.Year.Period!$11:$11,1)-3</f>
        <v>7</v>
      </c>
      <c r="AB189" s="17">
        <f>MATCH(AB$88&amp;"."&amp;TEXT(AA189,"00"),Tab.U.Default!$A:$A,0)</f>
        <v>30</v>
      </c>
      <c r="AC189" s="105">
        <f ca="1">OFFSET(Tab.U.Default!$A$1,$AB189-1,MATCH("U_Class_"&amp;IF($J189="TopCeiling","UpperCeiling",$J189)&amp;"_"&amp;AC$87,Tab.U.Default!$1:$1,0)-1)</f>
        <v>0.8</v>
      </c>
      <c r="AD189" s="105">
        <f ca="1">OFFSET(Tab.U.Default!$A$1,$AB189-1,MATCH("U_Class_"&amp;IF($J189="TopCeiling","UpperCeiling",$J189)&amp;"_"&amp;AD$87,Tab.U.Default!$1:$1,0)-1)</f>
        <v>0.8</v>
      </c>
      <c r="AE189" s="105">
        <f ca="1">OFFSET(Tab.U.Default!$A$1,$AB189-1,MATCH("U_Class_"&amp;IF($J189="TopCeiling","UpperCeiling",$J189)&amp;"_"&amp;AE$87,Tab.U.Default!$1:$1,0)-1)</f>
        <v>0.5</v>
      </c>
      <c r="AF189" s="26">
        <f t="shared" ca="1" si="96"/>
        <v>0.8</v>
      </c>
      <c r="AG189" s="26">
        <f t="shared" ca="1" si="155"/>
        <v>0.8</v>
      </c>
      <c r="AH189" s="18" t="str">
        <f t="shared" si="124"/>
        <v>Refurbish</v>
      </c>
      <c r="AI189" s="18" t="str">
        <f t="shared" si="111"/>
        <v>Add</v>
      </c>
      <c r="AJ189" s="18">
        <f t="shared" si="98"/>
        <v>2016</v>
      </c>
      <c r="AK189" s="17">
        <f>MATCH(AJ189,Tab.Year.Period!$11:$11,1)-3</f>
        <v>12</v>
      </c>
      <c r="AL189" s="17">
        <f>MATCH(AL$88&amp;"."&amp;TEXT(AK189,"00"),Tab.Insulation.Default!$A:$A,0)</f>
        <v>23</v>
      </c>
      <c r="AM189" s="20" t="e">
        <f ca="1">IF(ISNA(IF(S189="",#N/A,S189)),OFFSET(Tab.Insulation.Default!$A$1,$AL189-1,MATCH(AM$87&amp;"_"&amp;$K189,Tab.Insulation.Default!$1:$1,0)-1),#N/A)</f>
        <v>#N/A</v>
      </c>
      <c r="AN189" s="27">
        <f t="shared" si="112"/>
        <v>12</v>
      </c>
      <c r="AO189" s="22">
        <f ca="1">IF(ISNA(IF(V189="",#N/A,V189)),OFFSET(Tab.Insulation.Default!$A$1,$AL189-1,MATCH(AO$87&amp;"_"&amp;$K189,Tab.Insulation.Default!$1:$1,0)-1),#N/A)</f>
        <v>3.5000000000000003E-2</v>
      </c>
      <c r="AP189" s="23">
        <f t="shared" ca="1" si="113"/>
        <v>3.5000000000000003E-2</v>
      </c>
      <c r="AQ189" s="29" t="str">
        <f t="shared" si="125"/>
        <v>Gen.Refurbished.12</v>
      </c>
      <c r="AR189" s="17">
        <f>MATCH(AR$88&amp;"."&amp;AQ189,Tab.Measure.f.Default!$A:$A,0)</f>
        <v>23</v>
      </c>
      <c r="AS189" s="21">
        <f ca="1">OFFSET(Tab.Measure.f.Default!$A$1,AR189-1,MATCH(AS$87&amp;"_"&amp;$J189,Tab.Measure.f.Default!$1:$1,0)-1)</f>
        <v>0.75</v>
      </c>
      <c r="AT189" s="29" t="str">
        <f t="shared" si="126"/>
        <v>MUH.NA.07</v>
      </c>
      <c r="AU189" s="17">
        <f>MATCH(AU$88&amp;"."&amp;AT189,Tab.Measure.f.Default!$A:$A,0)</f>
        <v>42</v>
      </c>
      <c r="AV189" s="21">
        <f ca="1">OFFSET(Tab.Measure.f.Default!$A$1,AU189-1,MATCH(AV$87&amp;"_"&amp;$J189,Tab.Measure.f.Default!$1:$1,0)-1)</f>
        <v>0.1</v>
      </c>
      <c r="AW189" s="30">
        <f t="shared" si="114"/>
        <v>0.8</v>
      </c>
      <c r="AX189" s="9">
        <f t="shared" ca="1" si="127"/>
        <v>1.25</v>
      </c>
      <c r="AY189" s="9">
        <f t="shared" ca="1" si="128"/>
        <v>3.4285714285714279</v>
      </c>
      <c r="AZ189" s="9">
        <f t="shared" ca="1" si="153"/>
        <v>4.6785714285714279</v>
      </c>
      <c r="BA189" s="9">
        <f t="shared" ca="1" si="154"/>
        <v>0.2137404580152672</v>
      </c>
      <c r="BB189" s="9">
        <f t="shared" ca="1" si="129"/>
        <v>0.33099236641221375</v>
      </c>
      <c r="BC189" s="32" t="str">
        <f t="shared" si="130"/>
        <v>D</v>
      </c>
      <c r="BD189" s="20" t="str">
        <f ca="1">OFFSET(Tab.Uncertainty.Levels!$A$1,MATCH(BD$88,Tab.Uncertainty.Levels!$A:$A,0)-1,MATCH(BD$87&amp;"_"&amp;BC189,Tab.Uncertainty.Levels!$1:$1,0)-1)</f>
        <v>Use of default values; building constructed until 1983</v>
      </c>
      <c r="BE189" s="24">
        <f ca="1">OFFSET(Tab.Uncertainty.Levels!$A$1,MATCH(BE$88,Tab.Uncertainty.Levels!$A:$A,0)-1,MATCH(BE$87&amp;"_"&amp;BC189,Tab.Uncertainty.Levels!$1:$1,0)-1)</f>
        <v>0.3</v>
      </c>
      <c r="BF189" s="32" t="str">
        <f t="shared" si="131"/>
        <v>-</v>
      </c>
      <c r="BG189" s="20" t="e">
        <f ca="1">OFFSET(Tab.Uncertainty.Levels!$A$1,MATCH(BG$88,Tab.Uncertainty.Levels!$A:$A,0)-1,MATCH(BG$87&amp;"_"&amp;BF189,Tab.Uncertainty.Levels!$1:$1,0)-1)</f>
        <v>#N/A</v>
      </c>
      <c r="BH189" s="24" t="e">
        <f ca="1">OFFSET(Tab.Uncertainty.Levels!$A$1,MATCH(BH$88,Tab.Uncertainty.Levels!$A:$A,0)-1,MATCH(BH$87&amp;"_"&amp;BF189,Tab.Uncertainty.Levels!$1:$1,0)-1)</f>
        <v>#N/A</v>
      </c>
      <c r="BI189" s="32" t="str">
        <f t="shared" si="137"/>
        <v>D</v>
      </c>
      <c r="BJ189" s="13">
        <f ca="1">IF(BF189="-",BE189,BH189)</f>
        <v>0.3</v>
      </c>
      <c r="BK189" s="32" t="str">
        <f>IF(OR($L189="NoDataSource",IFERROR(IF($S189="",#N/A,$S189),0)=0),IF(IFERROR(IF(U189="",#N/A,U189),0)=0,"E","D"),IF($L189="DesignDataPlusQA","A",IF($L189="DesignData","B","C")))</f>
        <v>C</v>
      </c>
      <c r="BL189" s="20" t="str">
        <f ca="1">OFFSET(Tab.Uncertainty.Levels!$A$1,MATCH(BL$88,Tab.Uncertainty.Levels!$A:$A,0)-1,MATCH(BL$87&amp;"_"&amp;BK189,Tab.Uncertainty.Levels!$1:$1,0)-1)</f>
        <v>Insulation thickness determined by inspection onsite / record or statement of owner</v>
      </c>
      <c r="BM189" s="24">
        <f ca="1">OFFSET(Tab.Uncertainty.Levels!$A$1,MATCH(BM$88,Tab.Uncertainty.Levels!$A:$A,0)-1,MATCH(BM$87&amp;"_"&amp;BK189,Tab.Uncertainty.Levels!$1:$1,0)-1)</f>
        <v>0.25</v>
      </c>
      <c r="BN189" s="34">
        <f ca="1">OFFSET(Tab.Uncertainty.Levels!$A$1,MATCH(BN$88,Tab.Uncertainty.Levels!$A:$A,0)-1,MATCH(BN$87&amp;"_"&amp;BK189,Tab.Uncertainty.Levels!$1:$1,0)-1)</f>
        <v>2</v>
      </c>
      <c r="BO189" s="13">
        <f ca="1">IFERROR(MIN(BM189,BN189/AN189),0)</f>
        <v>0.16666666666666666</v>
      </c>
      <c r="BP189" s="32" t="str">
        <f>IF(OR($L189="NoDataSource",IFERROR(IF($V189="",#N/A,$V189),0)=0),IF(IFERROR(IF(U189="",#N/A,U189),0)=0,"E","D"),IF($L189="DesignDataPlusQA","A",IF($L189="DesignData","B","C")))</f>
        <v>D</v>
      </c>
      <c r="BQ189" s="20" t="str">
        <f ca="1">OFFSET(Tab.Uncertainty.Levels!$A$1,MATCH(BQ$88,Tab.Uncertainty.Levels!$A:$A,0)-1,MATCH(BQ$87&amp;"_"&amp;BP189,Tab.Uncertainty.Levels!$1:$1,0)-1)</f>
        <v>Insulation available; no information about material</v>
      </c>
      <c r="BR189" s="97">
        <f ca="1">OFFSET(Tab.Uncertainty.Levels!$A$1,MATCH(BR$88,Tab.Uncertainty.Levels!$A:$A,0)-1,MATCH(BR$87&amp;"_"&amp;BP189,Tab.Uncertainty.Levels!$1:$1,0)-1)</f>
        <v>0.2</v>
      </c>
      <c r="BS189" s="32" t="str">
        <f>IF(L189="NoDataSource","D",IF(IFERROR(IF($T189="",#N/A,$T189),0)=0,IF(OR(IFERROR(IF($S189="",#N/A,$S189),0)&gt;0,$R189="Refurbish"),"D","E"),IF($L189="DesignDataPlusQA","A",IF($L189="DesignData","B","C"))))</f>
        <v>C</v>
      </c>
      <c r="BT189" s="20" t="str">
        <f ca="1">OFFSET(Tab.Uncertainty.Levels!$A$1,MATCH(BT$88,Tab.Uncertainty.Levels!$A:$A,0)-1,MATCH(BT$87&amp;"_"&amp;BS189,Tab.Uncertainty.Levels!$1:$1,0)-1)</f>
        <v>Insulation fraction determined by inspection onsite / record or statement of owner</v>
      </c>
      <c r="BU189" s="33">
        <f ca="1">OFFSET(Tab.Uncertainty.Levels!$A$1,MATCH(BU$88,Tab.Uncertainty.Levels!$A:$A,0)-1,MATCH(BU$87&amp;"_"&amp;BS189,Tab.Uncertainty.Levels!$1:$1,0)-1)</f>
        <v>0.2</v>
      </c>
      <c r="BV189" s="13">
        <f ca="1">IFERROR(MIN(BU189/AW189,1,(1-AW189)/AW189),0)</f>
        <v>0.24999999999999994</v>
      </c>
      <c r="BW189" s="96">
        <f ca="1">ABS(1+(AW189*(1/(1+AN189/100/AP189*AG189)^2-1)))*BJ189*$AG189</f>
        <v>6.1705495017772866E-2</v>
      </c>
      <c r="BX189" s="96">
        <f ca="1">ABS(-AG189+1/(1/AG189+AN189/100/AP189))*BV189*AW189</f>
        <v>0.11725190839694655</v>
      </c>
      <c r="BY189" s="96">
        <f ca="1">ABS(-AW189*AP189/((AP189/AG189+AN189/100)^2))*(BO189*AN189/100)</f>
        <v>2.0884563836606258E-2</v>
      </c>
      <c r="BZ189" s="202">
        <f ca="1">ABS(AW189*AN189/100/(1/AG189*AP189+AN189/100)^2)*(BR189*AP189)</f>
        <v>2.5061476603927515E-2</v>
      </c>
      <c r="CA189" s="103">
        <f t="shared" ca="1" si="117"/>
        <v>0.13645446403225078</v>
      </c>
      <c r="CB189" s="37">
        <f t="shared" ca="1" si="132"/>
        <v>0.18642573448635252</v>
      </c>
      <c r="CC189" s="37">
        <f t="shared" ca="1" si="133"/>
        <v>0.35424354243542427</v>
      </c>
      <c r="CD189" s="37">
        <f t="shared" ca="1" si="134"/>
        <v>6.3096814174248617E-2</v>
      </c>
      <c r="CE189" s="37">
        <f t="shared" ca="1" si="135"/>
        <v>7.5716177009098343E-2</v>
      </c>
      <c r="CF189" s="13">
        <f t="shared" ca="1" si="136"/>
        <v>0.41225864363987202</v>
      </c>
      <c r="CG189" s="101">
        <f ca="1">AG189</f>
        <v>0.8</v>
      </c>
      <c r="CH189" s="101">
        <f>AW189</f>
        <v>0.8</v>
      </c>
      <c r="CI189" s="203">
        <f>IF(CH189&gt;0,AN189,0)</f>
        <v>12</v>
      </c>
      <c r="CJ189" s="102">
        <f ca="1">IF(AND(CH189&gt;0,CI189&gt;0),AP189,0)</f>
        <v>3.5000000000000003E-2</v>
      </c>
      <c r="CK189" s="102">
        <f ca="1">BB189</f>
        <v>0.33099236641221375</v>
      </c>
      <c r="CL189" s="37">
        <f t="shared" ca="1" si="156"/>
        <v>0.3</v>
      </c>
      <c r="CM189" s="37">
        <f t="shared" ca="1" si="157"/>
        <v>0.24999999999999994</v>
      </c>
      <c r="CN189" s="37">
        <f t="shared" ca="1" si="158"/>
        <v>0.16666666666666666</v>
      </c>
      <c r="CO189" s="37">
        <f t="shared" ca="1" si="159"/>
        <v>0.2</v>
      </c>
      <c r="CP189" s="37">
        <f t="shared" ca="1" si="160"/>
        <v>0.41225864363987202</v>
      </c>
      <c r="CQ189" s="95">
        <f t="shared" ca="1" si="161"/>
        <v>0.24</v>
      </c>
      <c r="CR189" s="95">
        <f t="shared" ca="1" si="162"/>
        <v>0.19999999999999996</v>
      </c>
      <c r="CS189" s="95">
        <f t="shared" ca="1" si="163"/>
        <v>2</v>
      </c>
      <c r="CT189" s="103">
        <f t="shared" ca="1" si="164"/>
        <v>7.000000000000001E-3</v>
      </c>
      <c r="CU189" s="95">
        <f t="shared" ca="1" si="165"/>
        <v>0.13645446403225078</v>
      </c>
      <c r="CV189" s="37">
        <f ca="1">$CB189^2/$CF189^2</f>
        <v>0.20449005205934606</v>
      </c>
      <c r="CW189" s="37">
        <f ca="1">$CD189^2/$CF189^2</f>
        <v>2.3424769357346276E-2</v>
      </c>
      <c r="CX189" s="37">
        <f ca="1">$CE189^2/$CF189^2</f>
        <v>3.3731667874578646E-2</v>
      </c>
      <c r="CY189" s="37">
        <f ca="1">$CC189^2/$CF189^2</f>
        <v>0.73835351070872912</v>
      </c>
      <c r="DA189" s="98" t="s">
        <v>214</v>
      </c>
      <c r="DB189" s="36">
        <f ca="1">OFFSET($A$1,ROW(DB189)-1,MATCH(DA189,$1:$1,0)-1)</f>
        <v>12</v>
      </c>
      <c r="DC189" s="9">
        <f ca="1">BB189</f>
        <v>0.33099236641221375</v>
      </c>
      <c r="DD189" s="9">
        <f ca="1">$DC189+$CA189</f>
        <v>0.46744683044446456</v>
      </c>
      <c r="DE189" s="9">
        <f ca="1">$DC189-$CA189</f>
        <v>0.19453790237996296</v>
      </c>
      <c r="DF189" s="10">
        <f t="shared" ca="1" si="87"/>
        <v>0.41225864363987214</v>
      </c>
    </row>
    <row r="190" spans="1:110" s="8" customFormat="1" ht="32.4" customHeight="1">
      <c r="A190" s="206" t="s">
        <v>626</v>
      </c>
      <c r="B190" s="209" t="s">
        <v>2345</v>
      </c>
      <c r="C190" s="206" t="str">
        <f t="shared" si="151"/>
        <v>Parameter-Variation: d_Insulation = NA</v>
      </c>
      <c r="D190" s="206"/>
      <c r="E190" s="206" t="s">
        <v>198</v>
      </c>
      <c r="F190" s="206" t="str">
        <f>IFERROR(S190&amp;" cm","NA")</f>
        <v>NA</v>
      </c>
      <c r="G190" s="206" t="s">
        <v>2170</v>
      </c>
      <c r="H190" s="206" t="s">
        <v>2171</v>
      </c>
      <c r="I190" s="156" t="s">
        <v>80</v>
      </c>
      <c r="J190" s="156" t="s">
        <v>134</v>
      </c>
      <c r="K190" s="156" t="s">
        <v>155</v>
      </c>
      <c r="L190" s="156" t="s">
        <v>66</v>
      </c>
      <c r="M190" s="156" t="s">
        <v>188</v>
      </c>
      <c r="N190" s="7">
        <v>1960</v>
      </c>
      <c r="O190" s="156">
        <v>1</v>
      </c>
      <c r="P190" s="156">
        <v>0</v>
      </c>
      <c r="Q190" s="156" t="s">
        <v>435</v>
      </c>
      <c r="R190" s="156" t="s">
        <v>58</v>
      </c>
      <c r="S190" s="19" t="e">
        <v>#N/A</v>
      </c>
      <c r="T190" s="19">
        <v>0.8</v>
      </c>
      <c r="U190" s="19">
        <v>2016</v>
      </c>
      <c r="V190" s="19" t="e">
        <v>#N/A</v>
      </c>
      <c r="W190" s="28" t="s">
        <v>59</v>
      </c>
      <c r="X190" s="19" t="e">
        <v>#N/A</v>
      </c>
      <c r="Y190" s="105">
        <f ca="1">IFERROR(OFFSET(Tab.Const.ConstrBorder!$A$1,MATCH(Q190,Tab.Const.ConstrBorder!$A:$A,0)-1,MATCH(Y$87,Tab.Const.ConstrBorder!$1:$1,0)-1),0)</f>
        <v>0</v>
      </c>
      <c r="Z190" s="18">
        <f t="shared" si="110"/>
        <v>1960</v>
      </c>
      <c r="AA190" s="17">
        <f>MATCH(Z190,Tab.Year.Period!$11:$11,1)-3</f>
        <v>5</v>
      </c>
      <c r="AB190" s="17">
        <f>MATCH(AB$88&amp;"."&amp;TEXT(AA190,"00"),Tab.U.Default!$A:$A,0)</f>
        <v>28</v>
      </c>
      <c r="AC190" s="105">
        <f ca="1">OFFSET(Tab.U.Default!$A$1,$AB190-1,MATCH("U_Class_"&amp;IF($J190="TopCeiling","UpperCeiling",$J190)&amp;"_"&amp;AC$87,Tab.U.Default!$1:$1,0)-1)</f>
        <v>1.2</v>
      </c>
      <c r="AD190" s="105">
        <f ca="1">OFFSET(Tab.U.Default!$A$1,$AB190-1,MATCH("U_Class_"&amp;IF($J190="TopCeiling","UpperCeiling",$J190)&amp;"_"&amp;AD$87,Tab.U.Default!$1:$1,0)-1)</f>
        <v>1.2</v>
      </c>
      <c r="AE190" s="105">
        <f ca="1">OFFSET(Tab.U.Default!$A$1,$AB190-1,MATCH("U_Class_"&amp;IF($J190="TopCeiling","UpperCeiling",$J190)&amp;"_"&amp;AE$87,Tab.U.Default!$1:$1,0)-1)</f>
        <v>0.8</v>
      </c>
      <c r="AF190" s="26">
        <f t="shared" ca="1" si="96"/>
        <v>1.2</v>
      </c>
      <c r="AG190" s="26">
        <f t="shared" ca="1" si="155"/>
        <v>1.2</v>
      </c>
      <c r="AH190" s="18" t="str">
        <f t="shared" si="124"/>
        <v>Refurbish</v>
      </c>
      <c r="AI190" s="18" t="str">
        <f t="shared" si="111"/>
        <v>Add</v>
      </c>
      <c r="AJ190" s="18">
        <f t="shared" si="98"/>
        <v>2016</v>
      </c>
      <c r="AK190" s="17">
        <f>MATCH(AJ190,Tab.Year.Period!$11:$11,1)-3</f>
        <v>12</v>
      </c>
      <c r="AL190" s="17">
        <f>MATCH(AL$88&amp;"."&amp;TEXT(AK190,"00"),Tab.Insulation.Default!$A:$A,0)</f>
        <v>23</v>
      </c>
      <c r="AM190" s="20">
        <f ca="1">IF(ISNA(IF(S190="",#N/A,S190)),OFFSET(Tab.Insulation.Default!$A$1,$AL190-1,MATCH(AM$87&amp;"_"&amp;$K190,Tab.Insulation.Default!$1:$1,0)-1),#N/A)</f>
        <v>12</v>
      </c>
      <c r="AN190" s="27">
        <f t="shared" ca="1" si="112"/>
        <v>12</v>
      </c>
      <c r="AO190" s="22">
        <f ca="1">IF(ISNA(IF(V190="",#N/A,V190)),OFFSET(Tab.Insulation.Default!$A$1,$AL190-1,MATCH(AO$87&amp;"_"&amp;$K190,Tab.Insulation.Default!$1:$1,0)-1),#N/A)</f>
        <v>3.5000000000000003E-2</v>
      </c>
      <c r="AP190" s="23">
        <f t="shared" ca="1" si="113"/>
        <v>3.5000000000000003E-2</v>
      </c>
      <c r="AQ190" s="29" t="str">
        <f t="shared" si="125"/>
        <v>Gen.Refurbished.12</v>
      </c>
      <c r="AR190" s="17">
        <f>MATCH(AR$88&amp;"."&amp;AQ190,Tab.Measure.f.Default!$A:$A,0)</f>
        <v>23</v>
      </c>
      <c r="AS190" s="21">
        <f ca="1">OFFSET(Tab.Measure.f.Default!$A$1,AR190-1,MATCH(AS$87&amp;"_"&amp;$J190,Tab.Measure.f.Default!$1:$1,0)-1)</f>
        <v>0.75</v>
      </c>
      <c r="AT190" s="29" t="str">
        <f t="shared" si="126"/>
        <v>MUH.NA.05</v>
      </c>
      <c r="AU190" s="17">
        <f>MATCH(AU$88&amp;"."&amp;AT190,Tab.Measure.f.Default!$A:$A,0)</f>
        <v>40</v>
      </c>
      <c r="AV190" s="21">
        <f ca="1">OFFSET(Tab.Measure.f.Default!$A$1,AU190-1,MATCH(AV$87&amp;"_"&amp;$J190,Tab.Measure.f.Default!$1:$1,0)-1)</f>
        <v>0.37</v>
      </c>
      <c r="AW190" s="30">
        <f t="shared" si="114"/>
        <v>0.8</v>
      </c>
      <c r="AX190" s="9">
        <f t="shared" ca="1" si="127"/>
        <v>0.83333333333333337</v>
      </c>
      <c r="AY190" s="9">
        <f t="shared" ca="1" si="128"/>
        <v>3.4285714285714279</v>
      </c>
      <c r="AZ190" s="9">
        <f t="shared" ca="1" si="153"/>
        <v>4.261904761904761</v>
      </c>
      <c r="BA190" s="9">
        <f t="shared" ca="1" si="154"/>
        <v>0.23463687150837995</v>
      </c>
      <c r="BB190" s="9">
        <f t="shared" ca="1" si="129"/>
        <v>0.42770949720670393</v>
      </c>
      <c r="BC190" s="32" t="str">
        <f t="shared" si="130"/>
        <v>D</v>
      </c>
      <c r="BD190" s="20" t="str">
        <f ca="1">OFFSET(Tab.Uncertainty.Levels!$A$1,MATCH(BD$88,Tab.Uncertainty.Levels!$A:$A,0)-1,MATCH(BD$87&amp;"_"&amp;BC190,Tab.Uncertainty.Levels!$1:$1,0)-1)</f>
        <v>Use of default values; building constructed until 1983</v>
      </c>
      <c r="BE190" s="24">
        <f ca="1">OFFSET(Tab.Uncertainty.Levels!$A$1,MATCH(BE$88,Tab.Uncertainty.Levels!$A:$A,0)-1,MATCH(BE$87&amp;"_"&amp;BC190,Tab.Uncertainty.Levels!$1:$1,0)-1)</f>
        <v>0.3</v>
      </c>
      <c r="BF190" s="32" t="str">
        <f t="shared" si="131"/>
        <v>-</v>
      </c>
      <c r="BG190" s="20" t="e">
        <f ca="1">OFFSET(Tab.Uncertainty.Levels!$A$1,MATCH(BG$88,Tab.Uncertainty.Levels!$A:$A,0)-1,MATCH(BG$87&amp;"_"&amp;BF190,Tab.Uncertainty.Levels!$1:$1,0)-1)</f>
        <v>#N/A</v>
      </c>
      <c r="BH190" s="24" t="e">
        <f ca="1">OFFSET(Tab.Uncertainty.Levels!$A$1,MATCH(BH$88,Tab.Uncertainty.Levels!$A:$A,0)-1,MATCH(BH$87&amp;"_"&amp;BF190,Tab.Uncertainty.Levels!$1:$1,0)-1)</f>
        <v>#N/A</v>
      </c>
      <c r="BI190" s="32" t="str">
        <f t="shared" si="137"/>
        <v>D</v>
      </c>
      <c r="BJ190" s="13">
        <f ca="1">IF(BF190="-",BE190,BH190)</f>
        <v>0.3</v>
      </c>
      <c r="BK190" s="32" t="str">
        <f>IF(OR($L190="NoDataSource",IFERROR(IF($S190="",#N/A,$S190),0)=0),IF(IFERROR(IF(U190="",#N/A,U190),0)=0,"E","D"),IF($L190="DesignDataPlusQA","A",IF($L190="DesignData","B","C")))</f>
        <v>D</v>
      </c>
      <c r="BL190" s="20" t="str">
        <f ca="1">OFFSET(Tab.Uncertainty.Levels!$A$1,MATCH(BL$88,Tab.Uncertainty.Levels!$A:$A,0)-1,MATCH(BL$87&amp;"_"&amp;BK190,Tab.Uncertainty.Levels!$1:$1,0)-1)</f>
        <v>Insulation available; insulation thickness unknown</v>
      </c>
      <c r="BM190" s="24">
        <f ca="1">OFFSET(Tab.Uncertainty.Levels!$A$1,MATCH(BM$88,Tab.Uncertainty.Levels!$A:$A,0)-1,MATCH(BM$87&amp;"_"&amp;BK190,Tab.Uncertainty.Levels!$1:$1,0)-1)</f>
        <v>0.4</v>
      </c>
      <c r="BN190" s="34">
        <f ca="1">OFFSET(Tab.Uncertainty.Levels!$A$1,MATCH(BN$88,Tab.Uncertainty.Levels!$A:$A,0)-1,MATCH(BN$87&amp;"_"&amp;BK190,Tab.Uncertainty.Levels!$1:$1,0)-1)</f>
        <v>5</v>
      </c>
      <c r="BO190" s="13">
        <f ca="1">IFERROR(MIN(BM190,BN190/AN190),0)</f>
        <v>0.4</v>
      </c>
      <c r="BP190" s="32" t="str">
        <f>IF(OR($L190="NoDataSource",IFERROR(IF($V190="",#N/A,$V190),0)=0),IF(IFERROR(IF(U190="",#N/A,U190),0)=0,"E","D"),IF($L190="DesignDataPlusQA","A",IF($L190="DesignData","B","C")))</f>
        <v>D</v>
      </c>
      <c r="BQ190" s="20" t="str">
        <f ca="1">OFFSET(Tab.Uncertainty.Levels!$A$1,MATCH(BQ$88,Tab.Uncertainty.Levels!$A:$A,0)-1,MATCH(BQ$87&amp;"_"&amp;BP190,Tab.Uncertainty.Levels!$1:$1,0)-1)</f>
        <v>Insulation available; no information about material</v>
      </c>
      <c r="BR190" s="97">
        <f ca="1">OFFSET(Tab.Uncertainty.Levels!$A$1,MATCH(BR$88,Tab.Uncertainty.Levels!$A:$A,0)-1,MATCH(BR$87&amp;"_"&amp;BP190,Tab.Uncertainty.Levels!$1:$1,0)-1)</f>
        <v>0.2</v>
      </c>
      <c r="BS190" s="32" t="str">
        <f>IF(L190="NoDataSource","D",IF(IFERROR(IF($T190="",#N/A,$T190),0)=0,IF(OR(IFERROR(IF($S190="",#N/A,$S190),0)&gt;0,$R190="Refurbish"),"D","E"),IF($L190="DesignDataPlusQA","A",IF($L190="DesignData","B","C"))))</f>
        <v>C</v>
      </c>
      <c r="BT190" s="20" t="str">
        <f ca="1">OFFSET(Tab.Uncertainty.Levels!$A$1,MATCH(BT$88,Tab.Uncertainty.Levels!$A:$A,0)-1,MATCH(BT$87&amp;"_"&amp;BS190,Tab.Uncertainty.Levels!$1:$1,0)-1)</f>
        <v>Insulation fraction determined by inspection onsite / record or statement of owner</v>
      </c>
      <c r="BU190" s="33">
        <f ca="1">OFFSET(Tab.Uncertainty.Levels!$A$1,MATCH(BU$88,Tab.Uncertainty.Levels!$A:$A,0)-1,MATCH(BU$87&amp;"_"&amp;BS190,Tab.Uncertainty.Levels!$1:$1,0)-1)</f>
        <v>0.2</v>
      </c>
      <c r="BV190" s="13">
        <f ca="1">IFERROR(MIN(BU190/AW190,1,(1-AW190)/AW190),0)</f>
        <v>0.24999999999999994</v>
      </c>
      <c r="BW190" s="96">
        <f ca="1">ABS(1+(AW190*(1/(1+AN190/100/AP190*AG190)^2-1)))*BJ190*$AG190</f>
        <v>8.3010892294247976E-2</v>
      </c>
      <c r="BX190" s="96">
        <f ca="1">ABS(-AG190+1/(1/AG190+AN190/100/AP190))*BV190*AW190</f>
        <v>0.19307262569832395</v>
      </c>
      <c r="BY190" s="96">
        <f ca="1">ABS(-AW190*AP190/((AP190/AG190+AN190/100)^2))*(BO190*AN190/100)</f>
        <v>6.0402609157017582E-2</v>
      </c>
      <c r="BZ190" s="202">
        <f ca="1">ABS(AW190*AN190/100/(1/AG190*AP190+AN190/100)^2)*(BR190*AP190)</f>
        <v>3.0201304578508798E-2</v>
      </c>
      <c r="CA190" s="103">
        <f t="shared" ca="1" si="117"/>
        <v>0.22074519479425056</v>
      </c>
      <c r="CB190" s="37">
        <f t="shared" ca="1" si="132"/>
        <v>0.19408241536925794</v>
      </c>
      <c r="CC190" s="37">
        <f t="shared" ca="1" si="133"/>
        <v>0.45141065830720983</v>
      </c>
      <c r="CD190" s="37">
        <f t="shared" ca="1" si="134"/>
        <v>0.14122344617432273</v>
      </c>
      <c r="CE190" s="37">
        <f t="shared" ca="1" si="135"/>
        <v>7.0611723087161377E-2</v>
      </c>
      <c r="CF190" s="13">
        <f t="shared" ca="1" si="136"/>
        <v>0.51611010799596191</v>
      </c>
      <c r="CG190" s="101">
        <f ca="1">AG190</f>
        <v>1.2</v>
      </c>
      <c r="CH190" s="101">
        <f>AW190</f>
        <v>0.8</v>
      </c>
      <c r="CI190" s="203">
        <f ca="1">IF(CH190&gt;0,AN190,0)</f>
        <v>12</v>
      </c>
      <c r="CJ190" s="102">
        <f ca="1">IF(AND(CH190&gt;0,CI190&gt;0),AP190,0)</f>
        <v>3.5000000000000003E-2</v>
      </c>
      <c r="CK190" s="102">
        <f ca="1">BB190</f>
        <v>0.42770949720670393</v>
      </c>
      <c r="CL190" s="37">
        <f t="shared" ca="1" si="156"/>
        <v>0.3</v>
      </c>
      <c r="CM190" s="37">
        <f t="shared" ca="1" si="157"/>
        <v>0.24999999999999994</v>
      </c>
      <c r="CN190" s="37">
        <f t="shared" ca="1" si="158"/>
        <v>0.4</v>
      </c>
      <c r="CO190" s="37">
        <f t="shared" ca="1" si="159"/>
        <v>0.2</v>
      </c>
      <c r="CP190" s="37">
        <f t="shared" ca="1" si="160"/>
        <v>0.51611010799596191</v>
      </c>
      <c r="CQ190" s="95">
        <f t="shared" ca="1" si="161"/>
        <v>0.36</v>
      </c>
      <c r="CR190" s="95">
        <f t="shared" ca="1" si="162"/>
        <v>0.19999999999999996</v>
      </c>
      <c r="CS190" s="95">
        <f t="shared" ca="1" si="163"/>
        <v>4.8000000000000007</v>
      </c>
      <c r="CT190" s="103">
        <f t="shared" ca="1" si="164"/>
        <v>7.000000000000001E-3</v>
      </c>
      <c r="CU190" s="95">
        <f t="shared" ca="1" si="165"/>
        <v>0.22074519479425053</v>
      </c>
      <c r="CV190" s="37">
        <f ca="1">$CB190^2/$CF190^2</f>
        <v>0.1414124501948883</v>
      </c>
      <c r="CW190" s="37">
        <f ca="1">$CD190^2/$CF190^2</f>
        <v>7.4873628547282731E-2</v>
      </c>
      <c r="CX190" s="37">
        <f ca="1">$CE190^2/$CF190^2</f>
        <v>1.871840713682069E-2</v>
      </c>
      <c r="CY190" s="37">
        <f ca="1">$CC190^2/$CF190^2</f>
        <v>0.76499551412100852</v>
      </c>
      <c r="DA190" s="98" t="s">
        <v>214</v>
      </c>
      <c r="DB190" s="36">
        <f ca="1">OFFSET($A$1,ROW(DB190)-1,MATCH(DA190,$1:$1,0)-1)</f>
        <v>12</v>
      </c>
      <c r="DC190" s="9">
        <f ca="1">BB190</f>
        <v>0.42770949720670393</v>
      </c>
      <c r="DD190" s="9">
        <f ca="1">$DC190+$CA190</f>
        <v>0.64845469200095451</v>
      </c>
      <c r="DE190" s="9">
        <f ca="1">$DC190-$CA190</f>
        <v>0.20696430241245337</v>
      </c>
      <c r="DF190" s="10">
        <f t="shared" ca="1" si="87"/>
        <v>0.51611010799596202</v>
      </c>
    </row>
    <row r="191" spans="1:110" s="8" customFormat="1" ht="32.4" customHeight="1">
      <c r="A191" s="206" t="s">
        <v>627</v>
      </c>
      <c r="B191" s="209" t="s">
        <v>2345</v>
      </c>
      <c r="C191" s="206" t="str">
        <f t="shared" si="151"/>
        <v>Parameter-Variation: d_Insulation = 0 cm</v>
      </c>
      <c r="D191" s="206"/>
      <c r="E191" s="206" t="s">
        <v>198</v>
      </c>
      <c r="F191" s="206" t="str">
        <f t="shared" ref="F191:F201" si="166">IFERROR(S191&amp;" cm","NA")</f>
        <v>0 cm</v>
      </c>
      <c r="G191" s="206" t="s">
        <v>2170</v>
      </c>
      <c r="H191" s="206" t="s">
        <v>2171</v>
      </c>
      <c r="I191" s="156" t="s">
        <v>80</v>
      </c>
      <c r="J191" s="156" t="s">
        <v>134</v>
      </c>
      <c r="K191" s="156" t="s">
        <v>155</v>
      </c>
      <c r="L191" s="156" t="s">
        <v>66</v>
      </c>
      <c r="M191" s="156" t="s">
        <v>188</v>
      </c>
      <c r="N191" s="7">
        <v>1960</v>
      </c>
      <c r="O191" s="156">
        <v>1</v>
      </c>
      <c r="P191" s="156">
        <v>0</v>
      </c>
      <c r="Q191" s="156" t="s">
        <v>435</v>
      </c>
      <c r="R191" s="156" t="s">
        <v>58</v>
      </c>
      <c r="S191" s="19">
        <v>0</v>
      </c>
      <c r="T191" s="19">
        <v>0.8</v>
      </c>
      <c r="U191" s="19">
        <v>2016</v>
      </c>
      <c r="V191" s="19" t="e">
        <v>#N/A</v>
      </c>
      <c r="W191" s="28" t="s">
        <v>59</v>
      </c>
      <c r="X191" s="19" t="e">
        <v>#N/A</v>
      </c>
      <c r="Y191" s="105">
        <f ca="1">IFERROR(OFFSET(Tab.Const.ConstrBorder!$A$1,MATCH(Q191,Tab.Const.ConstrBorder!$A:$A,0)-1,MATCH(Y$87,Tab.Const.ConstrBorder!$1:$1,0)-1),0)</f>
        <v>0</v>
      </c>
      <c r="Z191" s="18">
        <f t="shared" si="110"/>
        <v>1960</v>
      </c>
      <c r="AA191" s="17">
        <f>MATCH(Z191,Tab.Year.Period!$11:$11,1)-3</f>
        <v>5</v>
      </c>
      <c r="AB191" s="17">
        <f>MATCH(AB$88&amp;"."&amp;TEXT(AA191,"00"),Tab.U.Default!$A:$A,0)</f>
        <v>28</v>
      </c>
      <c r="AC191" s="105">
        <f ca="1">OFFSET(Tab.U.Default!$A$1,$AB191-1,MATCH("U_Class_"&amp;IF($J191="TopCeiling","UpperCeiling",$J191)&amp;"_"&amp;AC$87,Tab.U.Default!$1:$1,0)-1)</f>
        <v>1.2</v>
      </c>
      <c r="AD191" s="105">
        <f ca="1">OFFSET(Tab.U.Default!$A$1,$AB191-1,MATCH("U_Class_"&amp;IF($J191="TopCeiling","UpperCeiling",$J191)&amp;"_"&amp;AD$87,Tab.U.Default!$1:$1,0)-1)</f>
        <v>1.2</v>
      </c>
      <c r="AE191" s="105">
        <f ca="1">OFFSET(Tab.U.Default!$A$1,$AB191-1,MATCH("U_Class_"&amp;IF($J191="TopCeiling","UpperCeiling",$J191)&amp;"_"&amp;AE$87,Tab.U.Default!$1:$1,0)-1)</f>
        <v>0.8</v>
      </c>
      <c r="AF191" s="26">
        <f t="shared" ca="1" si="96"/>
        <v>1.2</v>
      </c>
      <c r="AG191" s="26">
        <f t="shared" ca="1" si="155"/>
        <v>1.2</v>
      </c>
      <c r="AH191" s="18" t="str">
        <f t="shared" si="124"/>
        <v>Refurbish</v>
      </c>
      <c r="AI191" s="18" t="str">
        <f t="shared" si="111"/>
        <v>Add</v>
      </c>
      <c r="AJ191" s="18">
        <f t="shared" si="98"/>
        <v>2016</v>
      </c>
      <c r="AK191" s="17">
        <f>MATCH(AJ191,Tab.Year.Period!$11:$11,1)-3</f>
        <v>12</v>
      </c>
      <c r="AL191" s="17">
        <f>MATCH(AL$88&amp;"."&amp;TEXT(AK191,"00"),Tab.Insulation.Default!$A:$A,0)</f>
        <v>23</v>
      </c>
      <c r="AM191" s="20" t="e">
        <f ca="1">IF(ISNA(IF(S191="",#N/A,S191)),OFFSET(Tab.Insulation.Default!$A$1,$AL191-1,MATCH(AM$87&amp;"_"&amp;$K191,Tab.Insulation.Default!$1:$1,0)-1),#N/A)</f>
        <v>#N/A</v>
      </c>
      <c r="AN191" s="27">
        <f t="shared" si="112"/>
        <v>0</v>
      </c>
      <c r="AO191" s="22">
        <f ca="1">IF(ISNA(IF(V191="",#N/A,V191)),OFFSET(Tab.Insulation.Default!$A$1,$AL191-1,MATCH(AO$87&amp;"_"&amp;$K191,Tab.Insulation.Default!$1:$1,0)-1),#N/A)</f>
        <v>3.5000000000000003E-2</v>
      </c>
      <c r="AP191" s="23">
        <f t="shared" ca="1" si="113"/>
        <v>3.5000000000000003E-2</v>
      </c>
      <c r="AQ191" s="29" t="str">
        <f t="shared" si="125"/>
        <v>Gen.Refurbished.12</v>
      </c>
      <c r="AR191" s="17">
        <f>MATCH(AR$88&amp;"."&amp;AQ191,Tab.Measure.f.Default!$A:$A,0)</f>
        <v>23</v>
      </c>
      <c r="AS191" s="21">
        <f ca="1">OFFSET(Tab.Measure.f.Default!$A$1,AR191-1,MATCH(AS$87&amp;"_"&amp;$J191,Tab.Measure.f.Default!$1:$1,0)-1)</f>
        <v>0.75</v>
      </c>
      <c r="AT191" s="29" t="str">
        <f t="shared" si="126"/>
        <v>MUH.NA.05</v>
      </c>
      <c r="AU191" s="17">
        <f>MATCH(AU$88&amp;"."&amp;AT191,Tab.Measure.f.Default!$A:$A,0)</f>
        <v>40</v>
      </c>
      <c r="AV191" s="21">
        <f ca="1">OFFSET(Tab.Measure.f.Default!$A$1,AU191-1,MATCH(AV$87&amp;"_"&amp;$J191,Tab.Measure.f.Default!$1:$1,0)-1)</f>
        <v>0.37</v>
      </c>
      <c r="AW191" s="30">
        <f t="shared" si="114"/>
        <v>0.8</v>
      </c>
      <c r="AX191" s="9">
        <f t="shared" ca="1" si="127"/>
        <v>0.83333333333333337</v>
      </c>
      <c r="AY191" s="9">
        <f t="shared" ca="1" si="128"/>
        <v>0</v>
      </c>
      <c r="AZ191" s="9">
        <f t="shared" ca="1" si="153"/>
        <v>0.83333333333333337</v>
      </c>
      <c r="BA191" s="9">
        <f t="shared" ca="1" si="154"/>
        <v>1.2</v>
      </c>
      <c r="BB191" s="9">
        <f t="shared" ca="1" si="129"/>
        <v>1.2</v>
      </c>
      <c r="BC191" s="32" t="str">
        <f t="shared" si="130"/>
        <v>D</v>
      </c>
      <c r="BD191" s="20" t="str">
        <f ca="1">OFFSET(Tab.Uncertainty.Levels!$A$1,MATCH(BD$88,Tab.Uncertainty.Levels!$A:$A,0)-1,MATCH(BD$87&amp;"_"&amp;BC191,Tab.Uncertainty.Levels!$1:$1,0)-1)</f>
        <v>Use of default values; building constructed until 1983</v>
      </c>
      <c r="BE191" s="24">
        <f ca="1">OFFSET(Tab.Uncertainty.Levels!$A$1,MATCH(BE$88,Tab.Uncertainty.Levels!$A:$A,0)-1,MATCH(BE$87&amp;"_"&amp;BC191,Tab.Uncertainty.Levels!$1:$1,0)-1)</f>
        <v>0.3</v>
      </c>
      <c r="BF191" s="32" t="str">
        <f t="shared" si="131"/>
        <v>-</v>
      </c>
      <c r="BG191" s="20" t="e">
        <f ca="1">OFFSET(Tab.Uncertainty.Levels!$A$1,MATCH(BG$88,Tab.Uncertainty.Levels!$A:$A,0)-1,MATCH(BG$87&amp;"_"&amp;BF191,Tab.Uncertainty.Levels!$1:$1,0)-1)</f>
        <v>#N/A</v>
      </c>
      <c r="BH191" s="24" t="e">
        <f ca="1">OFFSET(Tab.Uncertainty.Levels!$A$1,MATCH(BH$88,Tab.Uncertainty.Levels!$A:$A,0)-1,MATCH(BH$87&amp;"_"&amp;BF191,Tab.Uncertainty.Levels!$1:$1,0)-1)</f>
        <v>#N/A</v>
      </c>
      <c r="BI191" s="32" t="str">
        <f t="shared" si="137"/>
        <v>D</v>
      </c>
      <c r="BJ191" s="13">
        <f ca="1">IF(BF191="-",BE191,BH191)</f>
        <v>0.3</v>
      </c>
      <c r="BK191" s="32" t="str">
        <f>IF(OR($L191="NoDataSource",IFERROR(IF($S191="",#N/A,$S191),0)=0),IF(IFERROR(IF(U191="",#N/A,U191),0)=0,"E","D"),IF($L191="DesignDataPlusQA","A",IF($L191="DesignData","B","C")))</f>
        <v>D</v>
      </c>
      <c r="BL191" s="20" t="str">
        <f ca="1">OFFSET(Tab.Uncertainty.Levels!$A$1,MATCH(BL$88,Tab.Uncertainty.Levels!$A:$A,0)-1,MATCH(BL$87&amp;"_"&amp;BK191,Tab.Uncertainty.Levels!$1:$1,0)-1)</f>
        <v>Insulation available; insulation thickness unknown</v>
      </c>
      <c r="BM191" s="24">
        <f ca="1">OFFSET(Tab.Uncertainty.Levels!$A$1,MATCH(BM$88,Tab.Uncertainty.Levels!$A:$A,0)-1,MATCH(BM$87&amp;"_"&amp;BK191,Tab.Uncertainty.Levels!$1:$1,0)-1)</f>
        <v>0.4</v>
      </c>
      <c r="BN191" s="34">
        <f ca="1">OFFSET(Tab.Uncertainty.Levels!$A$1,MATCH(BN$88,Tab.Uncertainty.Levels!$A:$A,0)-1,MATCH(BN$87&amp;"_"&amp;BK191,Tab.Uncertainty.Levels!$1:$1,0)-1)</f>
        <v>5</v>
      </c>
      <c r="BO191" s="13">
        <f ca="1">IFERROR(MIN(BM191,BN191/AN191),0)</f>
        <v>0</v>
      </c>
      <c r="BP191" s="32" t="str">
        <f>IF(OR($L191="NoDataSource",IFERROR(IF($V191="",#N/A,$V191),0)=0),IF(IFERROR(IF(U191="",#N/A,U191),0)=0,"E","D"),IF($L191="DesignDataPlusQA","A",IF($L191="DesignData","B","C")))</f>
        <v>D</v>
      </c>
      <c r="BQ191" s="20" t="str">
        <f ca="1">OFFSET(Tab.Uncertainty.Levels!$A$1,MATCH(BQ$88,Tab.Uncertainty.Levels!$A:$A,0)-1,MATCH(BQ$87&amp;"_"&amp;BP191,Tab.Uncertainty.Levels!$1:$1,0)-1)</f>
        <v>Insulation available; no information about material</v>
      </c>
      <c r="BR191" s="97">
        <f ca="1">OFFSET(Tab.Uncertainty.Levels!$A$1,MATCH(BR$88,Tab.Uncertainty.Levels!$A:$A,0)-1,MATCH(BR$87&amp;"_"&amp;BP191,Tab.Uncertainty.Levels!$1:$1,0)-1)</f>
        <v>0.2</v>
      </c>
      <c r="BS191" s="32" t="str">
        <f>IF(L191="NoDataSource","D",IF(IFERROR(IF($T191="",#N/A,$T191),0)=0,IF(OR(IFERROR(IF($S191="",#N/A,$S191),0)&gt;0,$R191="Refurbish"),"D","E"),IF($L191="DesignDataPlusQA","A",IF($L191="DesignData","B","C"))))</f>
        <v>C</v>
      </c>
      <c r="BT191" s="20" t="str">
        <f ca="1">OFFSET(Tab.Uncertainty.Levels!$A$1,MATCH(BT$88,Tab.Uncertainty.Levels!$A:$A,0)-1,MATCH(BT$87&amp;"_"&amp;BS191,Tab.Uncertainty.Levels!$1:$1,0)-1)</f>
        <v>Insulation fraction determined by inspection onsite / record or statement of owner</v>
      </c>
      <c r="BU191" s="33">
        <f ca="1">OFFSET(Tab.Uncertainty.Levels!$A$1,MATCH(BU$88,Tab.Uncertainty.Levels!$A:$A,0)-1,MATCH(BU$87&amp;"_"&amp;BS191,Tab.Uncertainty.Levels!$1:$1,0)-1)</f>
        <v>0.2</v>
      </c>
      <c r="BV191" s="13">
        <f ca="1">IFERROR(MIN(BU191/AW191,1,(1-AW191)/AW191),0)</f>
        <v>0.24999999999999994</v>
      </c>
      <c r="BW191" s="96">
        <f ca="1">ABS(1+(AW191*(1/(1+AN191/100/AP191*AG191)^2-1)))*BJ191*$AG191</f>
        <v>0.36</v>
      </c>
      <c r="BX191" s="96">
        <f ca="1">ABS(-AG191+1/(1/AG191+AN191/100/AP191))*BV191*AW191</f>
        <v>0</v>
      </c>
      <c r="BY191" s="96">
        <f ca="1">ABS(-AW191*AP191/((AP191/AG191+AN191/100)^2))*(BO191*AN191/100)</f>
        <v>0</v>
      </c>
      <c r="BZ191" s="202">
        <f ca="1">ABS(AW191*AN191/100/(1/AG191*AP191+AN191/100)^2)*(BR191*AP191)</f>
        <v>0</v>
      </c>
      <c r="CA191" s="103">
        <f t="shared" ca="1" si="117"/>
        <v>0.36</v>
      </c>
      <c r="CB191" s="37">
        <f t="shared" ca="1" si="132"/>
        <v>0.3</v>
      </c>
      <c r="CC191" s="37">
        <f t="shared" ca="1" si="133"/>
        <v>0</v>
      </c>
      <c r="CD191" s="37">
        <f t="shared" ca="1" si="134"/>
        <v>0</v>
      </c>
      <c r="CE191" s="37">
        <f t="shared" ca="1" si="135"/>
        <v>0</v>
      </c>
      <c r="CF191" s="13">
        <f t="shared" ca="1" si="136"/>
        <v>0.3</v>
      </c>
      <c r="CG191" s="101">
        <f ca="1">AG191</f>
        <v>1.2</v>
      </c>
      <c r="CH191" s="101">
        <f>AW191</f>
        <v>0.8</v>
      </c>
      <c r="CI191" s="203">
        <f>IF(CH191&gt;0,AN191,0)</f>
        <v>0</v>
      </c>
      <c r="CJ191" s="102">
        <f>IF(AND(CH191&gt;0,CI191&gt;0),AP191,0)</f>
        <v>0</v>
      </c>
      <c r="CK191" s="102">
        <f ca="1">BB191</f>
        <v>1.2</v>
      </c>
      <c r="CL191" s="37">
        <f t="shared" ca="1" si="156"/>
        <v>0.3</v>
      </c>
      <c r="CM191" s="37">
        <f t="shared" ca="1" si="157"/>
        <v>0.24999999999999994</v>
      </c>
      <c r="CN191" s="37">
        <f t="shared" ca="1" si="158"/>
        <v>0</v>
      </c>
      <c r="CO191" s="37">
        <f t="shared" ca="1" si="159"/>
        <v>0.2</v>
      </c>
      <c r="CP191" s="37">
        <f t="shared" ca="1" si="160"/>
        <v>0.3</v>
      </c>
      <c r="CQ191" s="95">
        <f t="shared" ca="1" si="161"/>
        <v>0.36</v>
      </c>
      <c r="CR191" s="95">
        <f t="shared" ca="1" si="162"/>
        <v>0.19999999999999996</v>
      </c>
      <c r="CS191" s="95">
        <f t="shared" ca="1" si="163"/>
        <v>0</v>
      </c>
      <c r="CT191" s="103">
        <f t="shared" ca="1" si="164"/>
        <v>0</v>
      </c>
      <c r="CU191" s="95">
        <f t="shared" ca="1" si="165"/>
        <v>0.36</v>
      </c>
      <c r="CV191" s="37">
        <f ca="1">$CB191^2/$CF191^2</f>
        <v>1</v>
      </c>
      <c r="CW191" s="37">
        <f ca="1">$CD191^2/$CF191^2</f>
        <v>0</v>
      </c>
      <c r="CX191" s="37">
        <f ca="1">$CE191^2/$CF191^2</f>
        <v>0</v>
      </c>
      <c r="CY191" s="37">
        <f ca="1">$CC191^2/$CF191^2</f>
        <v>0</v>
      </c>
      <c r="DA191" s="98" t="s">
        <v>214</v>
      </c>
      <c r="DB191" s="36">
        <f ca="1">OFFSET($A$1,ROW(DB191)-1,MATCH(DA191,$1:$1,0)-1)</f>
        <v>0</v>
      </c>
      <c r="DC191" s="9">
        <f ca="1">BB191</f>
        <v>1.2</v>
      </c>
      <c r="DD191" s="9">
        <f ca="1">$DC191+$CA191</f>
        <v>1.56</v>
      </c>
      <c r="DE191" s="9">
        <f ca="1">$DC191-$CA191</f>
        <v>0.84</v>
      </c>
      <c r="DF191" s="10">
        <f t="shared" ca="1" si="87"/>
        <v>0.30000000000000004</v>
      </c>
    </row>
    <row r="192" spans="1:110" s="8" customFormat="1" ht="32.4" customHeight="1">
      <c r="A192" s="206" t="s">
        <v>628</v>
      </c>
      <c r="B192" s="209" t="s">
        <v>2345</v>
      </c>
      <c r="C192" s="206" t="str">
        <f t="shared" si="151"/>
        <v>Parameter-Variation: d_Insulation = 4 cm</v>
      </c>
      <c r="D192" s="206"/>
      <c r="E192" s="206" t="s">
        <v>198</v>
      </c>
      <c r="F192" s="206" t="str">
        <f t="shared" si="166"/>
        <v>4 cm</v>
      </c>
      <c r="G192" s="206" t="s">
        <v>2170</v>
      </c>
      <c r="H192" s="206" t="s">
        <v>2171</v>
      </c>
      <c r="I192" s="156" t="s">
        <v>80</v>
      </c>
      <c r="J192" s="156" t="s">
        <v>134</v>
      </c>
      <c r="K192" s="156" t="s">
        <v>155</v>
      </c>
      <c r="L192" s="156" t="s">
        <v>66</v>
      </c>
      <c r="M192" s="156" t="s">
        <v>188</v>
      </c>
      <c r="N192" s="7">
        <v>1960</v>
      </c>
      <c r="O192" s="156">
        <v>1</v>
      </c>
      <c r="P192" s="156">
        <v>0</v>
      </c>
      <c r="Q192" s="156" t="s">
        <v>435</v>
      </c>
      <c r="R192" s="156" t="s">
        <v>58</v>
      </c>
      <c r="S192" s="19">
        <v>4</v>
      </c>
      <c r="T192" s="19">
        <v>0.8</v>
      </c>
      <c r="U192" s="19">
        <v>2016</v>
      </c>
      <c r="V192" s="19" t="e">
        <v>#N/A</v>
      </c>
      <c r="W192" s="28" t="s">
        <v>59</v>
      </c>
      <c r="X192" s="19" t="e">
        <v>#N/A</v>
      </c>
      <c r="Y192" s="105">
        <f ca="1">IFERROR(OFFSET(Tab.Const.ConstrBorder!$A$1,MATCH(Q192,Tab.Const.ConstrBorder!$A:$A,0)-1,MATCH(Y$87,Tab.Const.ConstrBorder!$1:$1,0)-1),0)</f>
        <v>0</v>
      </c>
      <c r="Z192" s="18">
        <f t="shared" si="110"/>
        <v>1960</v>
      </c>
      <c r="AA192" s="17">
        <f>MATCH(Z192,Tab.Year.Period!$11:$11,1)-3</f>
        <v>5</v>
      </c>
      <c r="AB192" s="17">
        <f>MATCH(AB$88&amp;"."&amp;TEXT(AA192,"00"),Tab.U.Default!$A:$A,0)</f>
        <v>28</v>
      </c>
      <c r="AC192" s="105">
        <f ca="1">OFFSET(Tab.U.Default!$A$1,$AB192-1,MATCH("U_Class_"&amp;IF($J192="TopCeiling","UpperCeiling",$J192)&amp;"_"&amp;AC$87,Tab.U.Default!$1:$1,0)-1)</f>
        <v>1.2</v>
      </c>
      <c r="AD192" s="105">
        <f ca="1">OFFSET(Tab.U.Default!$A$1,$AB192-1,MATCH("U_Class_"&amp;IF($J192="TopCeiling","UpperCeiling",$J192)&amp;"_"&amp;AD$87,Tab.U.Default!$1:$1,0)-1)</f>
        <v>1.2</v>
      </c>
      <c r="AE192" s="105">
        <f ca="1">OFFSET(Tab.U.Default!$A$1,$AB192-1,MATCH("U_Class_"&amp;IF($J192="TopCeiling","UpperCeiling",$J192)&amp;"_"&amp;AE$87,Tab.U.Default!$1:$1,0)-1)</f>
        <v>0.8</v>
      </c>
      <c r="AF192" s="26">
        <f t="shared" ca="1" si="96"/>
        <v>1.2</v>
      </c>
      <c r="AG192" s="26">
        <f t="shared" ca="1" si="155"/>
        <v>1.2</v>
      </c>
      <c r="AH192" s="18" t="str">
        <f t="shared" si="124"/>
        <v>Refurbish</v>
      </c>
      <c r="AI192" s="18" t="str">
        <f t="shared" si="111"/>
        <v>Add</v>
      </c>
      <c r="AJ192" s="18">
        <f t="shared" si="98"/>
        <v>2016</v>
      </c>
      <c r="AK192" s="17">
        <f>MATCH(AJ192,Tab.Year.Period!$11:$11,1)-3</f>
        <v>12</v>
      </c>
      <c r="AL192" s="17">
        <f>MATCH(AL$88&amp;"."&amp;TEXT(AK192,"00"),Tab.Insulation.Default!$A:$A,0)</f>
        <v>23</v>
      </c>
      <c r="AM192" s="20" t="e">
        <f ca="1">IF(ISNA(IF(S192="",#N/A,S192)),OFFSET(Tab.Insulation.Default!$A$1,$AL192-1,MATCH(AM$87&amp;"_"&amp;$K192,Tab.Insulation.Default!$1:$1,0)-1),#N/A)</f>
        <v>#N/A</v>
      </c>
      <c r="AN192" s="27">
        <f t="shared" si="112"/>
        <v>4</v>
      </c>
      <c r="AO192" s="22">
        <f ca="1">IF(ISNA(IF(V192="",#N/A,V192)),OFFSET(Tab.Insulation.Default!$A$1,$AL192-1,MATCH(AO$87&amp;"_"&amp;$K192,Tab.Insulation.Default!$1:$1,0)-1),#N/A)</f>
        <v>3.5000000000000003E-2</v>
      </c>
      <c r="AP192" s="23">
        <f t="shared" ca="1" si="113"/>
        <v>3.5000000000000003E-2</v>
      </c>
      <c r="AQ192" s="29" t="str">
        <f t="shared" si="125"/>
        <v>Gen.Refurbished.12</v>
      </c>
      <c r="AR192" s="17">
        <f>MATCH(AR$88&amp;"."&amp;AQ192,Tab.Measure.f.Default!$A:$A,0)</f>
        <v>23</v>
      </c>
      <c r="AS192" s="21">
        <f ca="1">OFFSET(Tab.Measure.f.Default!$A$1,AR192-1,MATCH(AS$87&amp;"_"&amp;$J192,Tab.Measure.f.Default!$1:$1,0)-1)</f>
        <v>0.75</v>
      </c>
      <c r="AT192" s="29" t="str">
        <f t="shared" si="126"/>
        <v>MUH.NA.05</v>
      </c>
      <c r="AU192" s="17">
        <f>MATCH(AU$88&amp;"."&amp;AT192,Tab.Measure.f.Default!$A:$A,0)</f>
        <v>40</v>
      </c>
      <c r="AV192" s="21">
        <f ca="1">OFFSET(Tab.Measure.f.Default!$A$1,AU192-1,MATCH(AV$87&amp;"_"&amp;$J192,Tab.Measure.f.Default!$1:$1,0)-1)</f>
        <v>0.37</v>
      </c>
      <c r="AW192" s="30">
        <f t="shared" si="114"/>
        <v>0.8</v>
      </c>
      <c r="AX192" s="9">
        <f t="shared" ca="1" si="127"/>
        <v>0.83333333333333337</v>
      </c>
      <c r="AY192" s="9">
        <f t="shared" ca="1" si="128"/>
        <v>1.1428571428571428</v>
      </c>
      <c r="AZ192" s="9">
        <f t="shared" ca="1" si="153"/>
        <v>1.9761904761904763</v>
      </c>
      <c r="BA192" s="9">
        <f t="shared" ca="1" si="154"/>
        <v>0.50602409638554213</v>
      </c>
      <c r="BB192" s="9">
        <f t="shared" ca="1" si="129"/>
        <v>0.64481927710843367</v>
      </c>
      <c r="BC192" s="32" t="str">
        <f t="shared" si="130"/>
        <v>D</v>
      </c>
      <c r="BD192" s="20" t="str">
        <f ca="1">OFFSET(Tab.Uncertainty.Levels!$A$1,MATCH(BD$88,Tab.Uncertainty.Levels!$A:$A,0)-1,MATCH(BD$87&amp;"_"&amp;BC192,Tab.Uncertainty.Levels!$1:$1,0)-1)</f>
        <v>Use of default values; building constructed until 1983</v>
      </c>
      <c r="BE192" s="24">
        <f ca="1">OFFSET(Tab.Uncertainty.Levels!$A$1,MATCH(BE$88,Tab.Uncertainty.Levels!$A:$A,0)-1,MATCH(BE$87&amp;"_"&amp;BC192,Tab.Uncertainty.Levels!$1:$1,0)-1)</f>
        <v>0.3</v>
      </c>
      <c r="BF192" s="32" t="str">
        <f t="shared" si="131"/>
        <v>-</v>
      </c>
      <c r="BG192" s="20" t="e">
        <f ca="1">OFFSET(Tab.Uncertainty.Levels!$A$1,MATCH(BG$88,Tab.Uncertainty.Levels!$A:$A,0)-1,MATCH(BG$87&amp;"_"&amp;BF192,Tab.Uncertainty.Levels!$1:$1,0)-1)</f>
        <v>#N/A</v>
      </c>
      <c r="BH192" s="24" t="e">
        <f ca="1">OFFSET(Tab.Uncertainty.Levels!$A$1,MATCH(BH$88,Tab.Uncertainty.Levels!$A:$A,0)-1,MATCH(BH$87&amp;"_"&amp;BF192,Tab.Uncertainty.Levels!$1:$1,0)-1)</f>
        <v>#N/A</v>
      </c>
      <c r="BI192" s="32" t="str">
        <f t="shared" si="137"/>
        <v>D</v>
      </c>
      <c r="BJ192" s="13">
        <f ca="1">IF(BF192="-",BE192,BH192)</f>
        <v>0.3</v>
      </c>
      <c r="BK192" s="32" t="str">
        <f>IF(OR($L192="NoDataSource",IFERROR(IF($S192="",#N/A,$S192),0)=0),IF(IFERROR(IF(U192="",#N/A,U192),0)=0,"E","D"),IF($L192="DesignDataPlusQA","A",IF($L192="DesignData","B","C")))</f>
        <v>C</v>
      </c>
      <c r="BL192" s="20" t="str">
        <f ca="1">OFFSET(Tab.Uncertainty.Levels!$A$1,MATCH(BL$88,Tab.Uncertainty.Levels!$A:$A,0)-1,MATCH(BL$87&amp;"_"&amp;BK192,Tab.Uncertainty.Levels!$1:$1,0)-1)</f>
        <v>Insulation thickness determined by inspection onsite / record or statement of owner</v>
      </c>
      <c r="BM192" s="24">
        <f ca="1">OFFSET(Tab.Uncertainty.Levels!$A$1,MATCH(BM$88,Tab.Uncertainty.Levels!$A:$A,0)-1,MATCH(BM$87&amp;"_"&amp;BK192,Tab.Uncertainty.Levels!$1:$1,0)-1)</f>
        <v>0.25</v>
      </c>
      <c r="BN192" s="34">
        <f ca="1">OFFSET(Tab.Uncertainty.Levels!$A$1,MATCH(BN$88,Tab.Uncertainty.Levels!$A:$A,0)-1,MATCH(BN$87&amp;"_"&amp;BK192,Tab.Uncertainty.Levels!$1:$1,0)-1)</f>
        <v>2</v>
      </c>
      <c r="BO192" s="13">
        <f ca="1">IFERROR(MIN(BM192,BN192/AN192),0)</f>
        <v>0.25</v>
      </c>
      <c r="BP192" s="32" t="str">
        <f>IF(OR($L192="NoDataSource",IFERROR(IF($V192="",#N/A,$V192),0)=0),IF(IFERROR(IF(U192="",#N/A,U192),0)=0,"E","D"),IF($L192="DesignDataPlusQA","A",IF($L192="DesignData","B","C")))</f>
        <v>D</v>
      </c>
      <c r="BQ192" s="20" t="str">
        <f ca="1">OFFSET(Tab.Uncertainty.Levels!$A$1,MATCH(BQ$88,Tab.Uncertainty.Levels!$A:$A,0)-1,MATCH(BQ$87&amp;"_"&amp;BP192,Tab.Uncertainty.Levels!$1:$1,0)-1)</f>
        <v>Insulation available; no information about material</v>
      </c>
      <c r="BR192" s="97">
        <f ca="1">OFFSET(Tab.Uncertainty.Levels!$A$1,MATCH(BR$88,Tab.Uncertainty.Levels!$A:$A,0)-1,MATCH(BR$87&amp;"_"&amp;BP192,Tab.Uncertainty.Levels!$1:$1,0)-1)</f>
        <v>0.2</v>
      </c>
      <c r="BS192" s="32" t="str">
        <f>IF(L192="NoDataSource","D",IF(IFERROR(IF($T192="",#N/A,$T192),0)=0,IF(OR(IFERROR(IF($S192="",#N/A,$S192),0)&gt;0,$R192="Refurbish"),"D","E"),IF($L192="DesignDataPlusQA","A",IF($L192="DesignData","B","C"))))</f>
        <v>C</v>
      </c>
      <c r="BT192" s="20" t="str">
        <f ca="1">OFFSET(Tab.Uncertainty.Levels!$A$1,MATCH(BT$88,Tab.Uncertainty.Levels!$A:$A,0)-1,MATCH(BT$87&amp;"_"&amp;BS192,Tab.Uncertainty.Levels!$1:$1,0)-1)</f>
        <v>Insulation fraction determined by inspection onsite / record or statement of owner</v>
      </c>
      <c r="BU192" s="33">
        <f ca="1">OFFSET(Tab.Uncertainty.Levels!$A$1,MATCH(BU$88,Tab.Uncertainty.Levels!$A:$A,0)-1,MATCH(BU$87&amp;"_"&amp;BS192,Tab.Uncertainty.Levels!$1:$1,0)-1)</f>
        <v>0.2</v>
      </c>
      <c r="BV192" s="13">
        <f ca="1">IFERROR(MIN(BU192/AW192,1,(1-AW192)/AW192),0)</f>
        <v>0.24999999999999994</v>
      </c>
      <c r="BW192" s="96">
        <f ca="1">ABS(1+(AW192*(1/(1+AN192/100/AP192*AG192)^2-1)))*BJ192*$AG192</f>
        <v>0.12321207722456089</v>
      </c>
      <c r="BX192" s="96">
        <f ca="1">ABS(-AG192+1/(1/AG192+AN192/100/AP192))*BV192*AW192</f>
        <v>0.13879518072289154</v>
      </c>
      <c r="BY192" s="96">
        <f ca="1">ABS(-AW192*AP192/((AP192/AG192+AN192/100)^2))*(BO192*AN192/100)</f>
        <v>5.8528088256641027E-2</v>
      </c>
      <c r="BZ192" s="202">
        <f ca="1">ABS(AW192*AN192/100/(1/AG192*AP192+AN192/100)^2)*(BR192*AP192)</f>
        <v>4.6822470605312826E-2</v>
      </c>
      <c r="CA192" s="103">
        <f t="shared" ca="1" si="117"/>
        <v>0.2001579352272945</v>
      </c>
      <c r="CB192" s="37">
        <f t="shared" ca="1" si="132"/>
        <v>0.19108001512777567</v>
      </c>
      <c r="CC192" s="37">
        <f t="shared" ca="1" si="133"/>
        <v>0.21524663677130043</v>
      </c>
      <c r="CD192" s="37">
        <f t="shared" ca="1" si="134"/>
        <v>9.0766654060186955E-2</v>
      </c>
      <c r="CE192" s="37">
        <f t="shared" ca="1" si="135"/>
        <v>7.2613323248149564E-2</v>
      </c>
      <c r="CF192" s="13">
        <f t="shared" ca="1" si="136"/>
        <v>0.3104093539586219</v>
      </c>
      <c r="CG192" s="101">
        <f ca="1">AG192</f>
        <v>1.2</v>
      </c>
      <c r="CH192" s="101">
        <f>AW192</f>
        <v>0.8</v>
      </c>
      <c r="CI192" s="203">
        <f>IF(CH192&gt;0,AN192,0)</f>
        <v>4</v>
      </c>
      <c r="CJ192" s="102">
        <f ca="1">IF(AND(CH192&gt;0,CI192&gt;0),AP192,0)</f>
        <v>3.5000000000000003E-2</v>
      </c>
      <c r="CK192" s="102">
        <f ca="1">BB192</f>
        <v>0.64481927710843367</v>
      </c>
      <c r="CL192" s="37">
        <f t="shared" ca="1" si="156"/>
        <v>0.3</v>
      </c>
      <c r="CM192" s="37">
        <f t="shared" ca="1" si="157"/>
        <v>0.24999999999999994</v>
      </c>
      <c r="CN192" s="37">
        <f t="shared" ca="1" si="158"/>
        <v>0.25</v>
      </c>
      <c r="CO192" s="37">
        <f t="shared" ca="1" si="159"/>
        <v>0.2</v>
      </c>
      <c r="CP192" s="37">
        <f t="shared" ca="1" si="160"/>
        <v>0.3104093539586219</v>
      </c>
      <c r="CQ192" s="95">
        <f t="shared" ca="1" si="161"/>
        <v>0.36</v>
      </c>
      <c r="CR192" s="95">
        <f t="shared" ca="1" si="162"/>
        <v>0.19999999999999996</v>
      </c>
      <c r="CS192" s="95">
        <f t="shared" ca="1" si="163"/>
        <v>1</v>
      </c>
      <c r="CT192" s="103">
        <f t="shared" ca="1" si="164"/>
        <v>7.000000000000001E-3</v>
      </c>
      <c r="CU192" s="95">
        <f t="shared" ca="1" si="165"/>
        <v>0.2001579352272945</v>
      </c>
      <c r="CV192" s="37">
        <f ca="1">$CB192^2/$CF192^2</f>
        <v>0.37893169641634233</v>
      </c>
      <c r="CW192" s="37">
        <f ca="1">$CD192^2/$CF192^2</f>
        <v>8.5503334669586553E-2</v>
      </c>
      <c r="CX192" s="37">
        <f ca="1">$CE192^2/$CF192^2</f>
        <v>5.4722134188535394E-2</v>
      </c>
      <c r="CY192" s="37">
        <f ca="1">$CC192^2/$CF192^2</f>
        <v>0.48084283472553585</v>
      </c>
      <c r="DA192" s="98" t="s">
        <v>214</v>
      </c>
      <c r="DB192" s="36">
        <f ca="1">OFFSET($A$1,ROW(DB192)-1,MATCH(DA192,$1:$1,0)-1)</f>
        <v>4</v>
      </c>
      <c r="DC192" s="9">
        <f ca="1">BB192</f>
        <v>0.64481927710843367</v>
      </c>
      <c r="DD192" s="9">
        <f ca="1">$DC192+$CA192</f>
        <v>0.8449772123357282</v>
      </c>
      <c r="DE192" s="9">
        <f ca="1">$DC192-$CA192</f>
        <v>0.44466134188113915</v>
      </c>
      <c r="DF192" s="10">
        <f t="shared" ca="1" si="87"/>
        <v>0.31040935395862196</v>
      </c>
    </row>
    <row r="193" spans="1:110" s="8" customFormat="1" ht="32.4" customHeight="1">
      <c r="A193" s="206" t="s">
        <v>629</v>
      </c>
      <c r="B193" s="209" t="s">
        <v>2345</v>
      </c>
      <c r="C193" s="206" t="str">
        <f t="shared" si="151"/>
        <v>Parameter-Variation: d_Insulation = 8 cm</v>
      </c>
      <c r="D193" s="206"/>
      <c r="E193" s="206" t="s">
        <v>198</v>
      </c>
      <c r="F193" s="206" t="str">
        <f t="shared" si="166"/>
        <v>8 cm</v>
      </c>
      <c r="G193" s="206" t="s">
        <v>2170</v>
      </c>
      <c r="H193" s="206" t="s">
        <v>2171</v>
      </c>
      <c r="I193" s="156" t="s">
        <v>80</v>
      </c>
      <c r="J193" s="156" t="s">
        <v>134</v>
      </c>
      <c r="K193" s="156" t="s">
        <v>155</v>
      </c>
      <c r="L193" s="156" t="s">
        <v>66</v>
      </c>
      <c r="M193" s="156" t="s">
        <v>188</v>
      </c>
      <c r="N193" s="7">
        <v>1960</v>
      </c>
      <c r="O193" s="156">
        <v>1</v>
      </c>
      <c r="P193" s="156">
        <v>0</v>
      </c>
      <c r="Q193" s="156" t="s">
        <v>435</v>
      </c>
      <c r="R193" s="156" t="s">
        <v>58</v>
      </c>
      <c r="S193" s="19">
        <v>8</v>
      </c>
      <c r="T193" s="19">
        <v>0.8</v>
      </c>
      <c r="U193" s="19">
        <v>2016</v>
      </c>
      <c r="V193" s="19" t="e">
        <v>#N/A</v>
      </c>
      <c r="W193" s="28" t="s">
        <v>59</v>
      </c>
      <c r="X193" s="19" t="e">
        <v>#N/A</v>
      </c>
      <c r="Y193" s="105">
        <f ca="1">IFERROR(OFFSET(Tab.Const.ConstrBorder!$A$1,MATCH(Q193,Tab.Const.ConstrBorder!$A:$A,0)-1,MATCH(Y$87,Tab.Const.ConstrBorder!$1:$1,0)-1),0)</f>
        <v>0</v>
      </c>
      <c r="Z193" s="18">
        <f t="shared" si="110"/>
        <v>1960</v>
      </c>
      <c r="AA193" s="17">
        <f>MATCH(Z193,Tab.Year.Period!$11:$11,1)-3</f>
        <v>5</v>
      </c>
      <c r="AB193" s="17">
        <f>MATCH(AB$88&amp;"."&amp;TEXT(AA193,"00"),Tab.U.Default!$A:$A,0)</f>
        <v>28</v>
      </c>
      <c r="AC193" s="105">
        <f ca="1">OFFSET(Tab.U.Default!$A$1,$AB193-1,MATCH("U_Class_"&amp;IF($J193="TopCeiling","UpperCeiling",$J193)&amp;"_"&amp;AC$87,Tab.U.Default!$1:$1,0)-1)</f>
        <v>1.2</v>
      </c>
      <c r="AD193" s="105">
        <f ca="1">OFFSET(Tab.U.Default!$A$1,$AB193-1,MATCH("U_Class_"&amp;IF($J193="TopCeiling","UpperCeiling",$J193)&amp;"_"&amp;AD$87,Tab.U.Default!$1:$1,0)-1)</f>
        <v>1.2</v>
      </c>
      <c r="AE193" s="105">
        <f ca="1">OFFSET(Tab.U.Default!$A$1,$AB193-1,MATCH("U_Class_"&amp;IF($J193="TopCeiling","UpperCeiling",$J193)&amp;"_"&amp;AE$87,Tab.U.Default!$1:$1,0)-1)</f>
        <v>0.8</v>
      </c>
      <c r="AF193" s="26">
        <f t="shared" ca="1" si="96"/>
        <v>1.2</v>
      </c>
      <c r="AG193" s="26">
        <f t="shared" ca="1" si="155"/>
        <v>1.2</v>
      </c>
      <c r="AH193" s="18" t="str">
        <f t="shared" si="124"/>
        <v>Refurbish</v>
      </c>
      <c r="AI193" s="18" t="str">
        <f t="shared" si="111"/>
        <v>Add</v>
      </c>
      <c r="AJ193" s="18">
        <f t="shared" si="98"/>
        <v>2016</v>
      </c>
      <c r="AK193" s="17">
        <f>MATCH(AJ193,Tab.Year.Period!$11:$11,1)-3</f>
        <v>12</v>
      </c>
      <c r="AL193" s="17">
        <f>MATCH(AL$88&amp;"."&amp;TEXT(AK193,"00"),Tab.Insulation.Default!$A:$A,0)</f>
        <v>23</v>
      </c>
      <c r="AM193" s="20" t="e">
        <f ca="1">IF(ISNA(IF(S193="",#N/A,S193)),OFFSET(Tab.Insulation.Default!$A$1,$AL193-1,MATCH(AM$87&amp;"_"&amp;$K193,Tab.Insulation.Default!$1:$1,0)-1),#N/A)</f>
        <v>#N/A</v>
      </c>
      <c r="AN193" s="27">
        <f t="shared" si="112"/>
        <v>8</v>
      </c>
      <c r="AO193" s="22">
        <f ca="1">IF(ISNA(IF(V193="",#N/A,V193)),OFFSET(Tab.Insulation.Default!$A$1,$AL193-1,MATCH(AO$87&amp;"_"&amp;$K193,Tab.Insulation.Default!$1:$1,0)-1),#N/A)</f>
        <v>3.5000000000000003E-2</v>
      </c>
      <c r="AP193" s="23">
        <f t="shared" ca="1" si="113"/>
        <v>3.5000000000000003E-2</v>
      </c>
      <c r="AQ193" s="29" t="str">
        <f t="shared" si="125"/>
        <v>Gen.Refurbished.12</v>
      </c>
      <c r="AR193" s="17">
        <f>MATCH(AR$88&amp;"."&amp;AQ193,Tab.Measure.f.Default!$A:$A,0)</f>
        <v>23</v>
      </c>
      <c r="AS193" s="21">
        <f ca="1">OFFSET(Tab.Measure.f.Default!$A$1,AR193-1,MATCH(AS$87&amp;"_"&amp;$J193,Tab.Measure.f.Default!$1:$1,0)-1)</f>
        <v>0.75</v>
      </c>
      <c r="AT193" s="29" t="str">
        <f t="shared" si="126"/>
        <v>MUH.NA.05</v>
      </c>
      <c r="AU193" s="17">
        <f>MATCH(AU$88&amp;"."&amp;AT193,Tab.Measure.f.Default!$A:$A,0)</f>
        <v>40</v>
      </c>
      <c r="AV193" s="21">
        <f ca="1">OFFSET(Tab.Measure.f.Default!$A$1,AU193-1,MATCH(AV$87&amp;"_"&amp;$J193,Tab.Measure.f.Default!$1:$1,0)-1)</f>
        <v>0.37</v>
      </c>
      <c r="AW193" s="30">
        <f t="shared" si="114"/>
        <v>0.8</v>
      </c>
      <c r="AX193" s="9">
        <f t="shared" ca="1" si="127"/>
        <v>0.83333333333333337</v>
      </c>
      <c r="AY193" s="9">
        <f t="shared" ca="1" si="128"/>
        <v>2.2857142857142856</v>
      </c>
      <c r="AZ193" s="9">
        <f t="shared" ca="1" si="153"/>
        <v>3.1190476190476191</v>
      </c>
      <c r="BA193" s="9">
        <f t="shared" ca="1" si="154"/>
        <v>0.32061068702290074</v>
      </c>
      <c r="BB193" s="9">
        <f t="shared" ca="1" si="129"/>
        <v>0.49648854961832056</v>
      </c>
      <c r="BC193" s="32" t="str">
        <f t="shared" si="130"/>
        <v>D</v>
      </c>
      <c r="BD193" s="20" t="str">
        <f ca="1">OFFSET(Tab.Uncertainty.Levels!$A$1,MATCH(BD$88,Tab.Uncertainty.Levels!$A:$A,0)-1,MATCH(BD$87&amp;"_"&amp;BC193,Tab.Uncertainty.Levels!$1:$1,0)-1)</f>
        <v>Use of default values; building constructed until 1983</v>
      </c>
      <c r="BE193" s="24">
        <f ca="1">OFFSET(Tab.Uncertainty.Levels!$A$1,MATCH(BE$88,Tab.Uncertainty.Levels!$A:$A,0)-1,MATCH(BE$87&amp;"_"&amp;BC193,Tab.Uncertainty.Levels!$1:$1,0)-1)</f>
        <v>0.3</v>
      </c>
      <c r="BF193" s="32" t="str">
        <f t="shared" si="131"/>
        <v>-</v>
      </c>
      <c r="BG193" s="20" t="e">
        <f ca="1">OFFSET(Tab.Uncertainty.Levels!$A$1,MATCH(BG$88,Tab.Uncertainty.Levels!$A:$A,0)-1,MATCH(BG$87&amp;"_"&amp;BF193,Tab.Uncertainty.Levels!$1:$1,0)-1)</f>
        <v>#N/A</v>
      </c>
      <c r="BH193" s="24" t="e">
        <f ca="1">OFFSET(Tab.Uncertainty.Levels!$A$1,MATCH(BH$88,Tab.Uncertainty.Levels!$A:$A,0)-1,MATCH(BH$87&amp;"_"&amp;BF193,Tab.Uncertainty.Levels!$1:$1,0)-1)</f>
        <v>#N/A</v>
      </c>
      <c r="BI193" s="32" t="str">
        <f t="shared" si="137"/>
        <v>D</v>
      </c>
      <c r="BJ193" s="13">
        <f ca="1">IF(BF193="-",BE193,BH193)</f>
        <v>0.3</v>
      </c>
      <c r="BK193" s="32" t="str">
        <f>IF(OR($L193="NoDataSource",IFERROR(IF($S193="",#N/A,$S193),0)=0),IF(IFERROR(IF(U193="",#N/A,U193),0)=0,"E","D"),IF($L193="DesignDataPlusQA","A",IF($L193="DesignData","B","C")))</f>
        <v>C</v>
      </c>
      <c r="BL193" s="20" t="str">
        <f ca="1">OFFSET(Tab.Uncertainty.Levels!$A$1,MATCH(BL$88,Tab.Uncertainty.Levels!$A:$A,0)-1,MATCH(BL$87&amp;"_"&amp;BK193,Tab.Uncertainty.Levels!$1:$1,0)-1)</f>
        <v>Insulation thickness determined by inspection onsite / record or statement of owner</v>
      </c>
      <c r="BM193" s="24">
        <f ca="1">OFFSET(Tab.Uncertainty.Levels!$A$1,MATCH(BM$88,Tab.Uncertainty.Levels!$A:$A,0)-1,MATCH(BM$87&amp;"_"&amp;BK193,Tab.Uncertainty.Levels!$1:$1,0)-1)</f>
        <v>0.25</v>
      </c>
      <c r="BN193" s="34">
        <f ca="1">OFFSET(Tab.Uncertainty.Levels!$A$1,MATCH(BN$88,Tab.Uncertainty.Levels!$A:$A,0)-1,MATCH(BN$87&amp;"_"&amp;BK193,Tab.Uncertainty.Levels!$1:$1,0)-1)</f>
        <v>2</v>
      </c>
      <c r="BO193" s="13">
        <f ca="1">IFERROR(MIN(BM193,BN193/AN193),0)</f>
        <v>0.25</v>
      </c>
      <c r="BP193" s="32" t="str">
        <f>IF(OR($L193="NoDataSource",IFERROR(IF($V193="",#N/A,$V193),0)=0),IF(IFERROR(IF(U193="",#N/A,U193),0)=0,"E","D"),IF($L193="DesignDataPlusQA","A",IF($L193="DesignData","B","C")))</f>
        <v>D</v>
      </c>
      <c r="BQ193" s="20" t="str">
        <f ca="1">OFFSET(Tab.Uncertainty.Levels!$A$1,MATCH(BQ$88,Tab.Uncertainty.Levels!$A:$A,0)-1,MATCH(BQ$87&amp;"_"&amp;BP193,Tab.Uncertainty.Levels!$1:$1,0)-1)</f>
        <v>Insulation available; no information about material</v>
      </c>
      <c r="BR193" s="97">
        <f ca="1">OFFSET(Tab.Uncertainty.Levels!$A$1,MATCH(BR$88,Tab.Uncertainty.Levels!$A:$A,0)-1,MATCH(BR$87&amp;"_"&amp;BP193,Tab.Uncertainty.Levels!$1:$1,0)-1)</f>
        <v>0.2</v>
      </c>
      <c r="BS193" s="32" t="str">
        <f>IF(L193="NoDataSource","D",IF(IFERROR(IF($T193="",#N/A,$T193),0)=0,IF(OR(IFERROR(IF($S193="",#N/A,$S193),0)&gt;0,$R193="Refurbish"),"D","E"),IF($L193="DesignDataPlusQA","A",IF($L193="DesignData","B","C"))))</f>
        <v>C</v>
      </c>
      <c r="BT193" s="20" t="str">
        <f ca="1">OFFSET(Tab.Uncertainty.Levels!$A$1,MATCH(BT$88,Tab.Uncertainty.Levels!$A:$A,0)-1,MATCH(BT$87&amp;"_"&amp;BS193,Tab.Uncertainty.Levels!$1:$1,0)-1)</f>
        <v>Insulation fraction determined by inspection onsite / record or statement of owner</v>
      </c>
      <c r="BU193" s="33">
        <f ca="1">OFFSET(Tab.Uncertainty.Levels!$A$1,MATCH(BU$88,Tab.Uncertainty.Levels!$A:$A,0)-1,MATCH(BU$87&amp;"_"&amp;BS193,Tab.Uncertainty.Levels!$1:$1,0)-1)</f>
        <v>0.2</v>
      </c>
      <c r="BV193" s="13">
        <f ca="1">IFERROR(MIN(BU193/AW193,1,(1-AW193)/AW193),0)</f>
        <v>0.24999999999999994</v>
      </c>
      <c r="BW193" s="96">
        <f ca="1">ABS(1+(AW193*(1/(1+AN193/100/AP193*AG193)^2-1)))*BJ193*$AG193</f>
        <v>9.2558242526659285E-2</v>
      </c>
      <c r="BX193" s="96">
        <f ca="1">ABS(-AG193+1/(1/AG193+AN193/100/AP193))*BV193*AW193</f>
        <v>0.17587786259541982</v>
      </c>
      <c r="BY193" s="96">
        <f ca="1">ABS(-AW193*AP193/((AP193/AG193+AN193/100)^2))*(BO193*AN193/100)</f>
        <v>4.6990268632364086E-2</v>
      </c>
      <c r="BZ193" s="202">
        <f ca="1">ABS(AW193*AN193/100/(1/AG193*AP193+AN193/100)^2)*(BR193*AP193)</f>
        <v>3.7592214905891264E-2</v>
      </c>
      <c r="CA193" s="103">
        <f t="shared" ca="1" si="117"/>
        <v>0.20765671378125414</v>
      </c>
      <c r="CB193" s="37">
        <f t="shared" ca="1" si="132"/>
        <v>0.18642573448635252</v>
      </c>
      <c r="CC193" s="37">
        <f t="shared" ca="1" si="133"/>
        <v>0.35424354243542433</v>
      </c>
      <c r="CD193" s="37">
        <f t="shared" ca="1" si="134"/>
        <v>9.4645221261372939E-2</v>
      </c>
      <c r="CE193" s="37">
        <f t="shared" ca="1" si="135"/>
        <v>7.5716177009098343E-2</v>
      </c>
      <c r="CF193" s="13">
        <f t="shared" ca="1" si="136"/>
        <v>0.4182507611522801</v>
      </c>
      <c r="CG193" s="101">
        <f ca="1">AG193</f>
        <v>1.2</v>
      </c>
      <c r="CH193" s="101">
        <f>AW193</f>
        <v>0.8</v>
      </c>
      <c r="CI193" s="203">
        <f>IF(CH193&gt;0,AN193,0)</f>
        <v>8</v>
      </c>
      <c r="CJ193" s="102">
        <f ca="1">IF(AND(CH193&gt;0,CI193&gt;0),AP193,0)</f>
        <v>3.5000000000000003E-2</v>
      </c>
      <c r="CK193" s="102">
        <f ca="1">BB193</f>
        <v>0.49648854961832056</v>
      </c>
      <c r="CL193" s="37">
        <f t="shared" ca="1" si="156"/>
        <v>0.3</v>
      </c>
      <c r="CM193" s="37">
        <f t="shared" ca="1" si="157"/>
        <v>0.24999999999999994</v>
      </c>
      <c r="CN193" s="37">
        <f t="shared" ca="1" si="158"/>
        <v>0.25</v>
      </c>
      <c r="CO193" s="37">
        <f t="shared" ca="1" si="159"/>
        <v>0.2</v>
      </c>
      <c r="CP193" s="37">
        <f t="shared" ca="1" si="160"/>
        <v>0.4182507611522801</v>
      </c>
      <c r="CQ193" s="95">
        <f t="shared" ca="1" si="161"/>
        <v>0.36</v>
      </c>
      <c r="CR193" s="95">
        <f t="shared" ca="1" si="162"/>
        <v>0.19999999999999996</v>
      </c>
      <c r="CS193" s="95">
        <f t="shared" ca="1" si="163"/>
        <v>2</v>
      </c>
      <c r="CT193" s="103">
        <f t="shared" ca="1" si="164"/>
        <v>7.000000000000001E-3</v>
      </c>
      <c r="CU193" s="95">
        <f t="shared" ca="1" si="165"/>
        <v>0.20765671378125417</v>
      </c>
      <c r="CV193" s="37">
        <f ca="1">$CB193^2/$CF193^2</f>
        <v>0.19867272364803226</v>
      </c>
      <c r="CW193" s="37">
        <f ca="1">$CD193^2/$CF193^2</f>
        <v>5.1206359599956217E-2</v>
      </c>
      <c r="CX193" s="37">
        <f ca="1">$CE193^2/$CF193^2</f>
        <v>3.2772070143971974E-2</v>
      </c>
      <c r="CY193" s="37">
        <f ca="1">$CC193^2/$CF193^2</f>
        <v>0.71734884660803944</v>
      </c>
      <c r="DA193" s="98" t="s">
        <v>214</v>
      </c>
      <c r="DB193" s="36">
        <f ca="1">OFFSET($A$1,ROW(DB193)-1,MATCH(DA193,$1:$1,0)-1)</f>
        <v>8</v>
      </c>
      <c r="DC193" s="9">
        <f ca="1">BB193</f>
        <v>0.49648854961832056</v>
      </c>
      <c r="DD193" s="9">
        <f ca="1">$DC193+$CA193</f>
        <v>0.70414526339957473</v>
      </c>
      <c r="DE193" s="9">
        <f ca="1">$DC193-$CA193</f>
        <v>0.2888318358370664</v>
      </c>
      <c r="DF193" s="10">
        <f t="shared" ca="1" si="87"/>
        <v>0.4182507611522801</v>
      </c>
    </row>
    <row r="194" spans="1:110" s="8" customFormat="1" ht="32.4" customHeight="1">
      <c r="A194" s="206" t="s">
        <v>630</v>
      </c>
      <c r="B194" s="209" t="s">
        <v>2345</v>
      </c>
      <c r="C194" s="206" t="str">
        <f t="shared" si="151"/>
        <v>Parameter-Variation: d_Insulation = 12 cm</v>
      </c>
      <c r="D194" s="206"/>
      <c r="E194" s="206" t="s">
        <v>198</v>
      </c>
      <c r="F194" s="206" t="str">
        <f t="shared" si="166"/>
        <v>12 cm</v>
      </c>
      <c r="G194" s="206" t="s">
        <v>2170</v>
      </c>
      <c r="H194" s="206" t="s">
        <v>2171</v>
      </c>
      <c r="I194" s="156" t="s">
        <v>80</v>
      </c>
      <c r="J194" s="156" t="s">
        <v>134</v>
      </c>
      <c r="K194" s="156" t="s">
        <v>155</v>
      </c>
      <c r="L194" s="156" t="s">
        <v>66</v>
      </c>
      <c r="M194" s="156" t="s">
        <v>188</v>
      </c>
      <c r="N194" s="7">
        <v>1960</v>
      </c>
      <c r="O194" s="156">
        <v>1</v>
      </c>
      <c r="P194" s="156">
        <v>0</v>
      </c>
      <c r="Q194" s="156" t="s">
        <v>435</v>
      </c>
      <c r="R194" s="156" t="s">
        <v>58</v>
      </c>
      <c r="S194" s="19">
        <f>S193+4</f>
        <v>12</v>
      </c>
      <c r="T194" s="19">
        <v>0.8</v>
      </c>
      <c r="U194" s="19">
        <v>2016</v>
      </c>
      <c r="V194" s="19" t="e">
        <v>#N/A</v>
      </c>
      <c r="W194" s="28" t="s">
        <v>59</v>
      </c>
      <c r="X194" s="19" t="e">
        <v>#N/A</v>
      </c>
      <c r="Y194" s="105">
        <f ca="1">IFERROR(OFFSET(Tab.Const.ConstrBorder!$A$1,MATCH(Q194,Tab.Const.ConstrBorder!$A:$A,0)-1,MATCH(Y$87,Tab.Const.ConstrBorder!$1:$1,0)-1),0)</f>
        <v>0</v>
      </c>
      <c r="Z194" s="18">
        <f t="shared" si="110"/>
        <v>1960</v>
      </c>
      <c r="AA194" s="17">
        <f>MATCH(Z194,Tab.Year.Period!$11:$11,1)-3</f>
        <v>5</v>
      </c>
      <c r="AB194" s="17">
        <f>MATCH(AB$88&amp;"."&amp;TEXT(AA194,"00"),Tab.U.Default!$A:$A,0)</f>
        <v>28</v>
      </c>
      <c r="AC194" s="105">
        <f ca="1">OFFSET(Tab.U.Default!$A$1,$AB194-1,MATCH("U_Class_"&amp;IF($J194="TopCeiling","UpperCeiling",$J194)&amp;"_"&amp;AC$87,Tab.U.Default!$1:$1,0)-1)</f>
        <v>1.2</v>
      </c>
      <c r="AD194" s="105">
        <f ca="1">OFFSET(Tab.U.Default!$A$1,$AB194-1,MATCH("U_Class_"&amp;IF($J194="TopCeiling","UpperCeiling",$J194)&amp;"_"&amp;AD$87,Tab.U.Default!$1:$1,0)-1)</f>
        <v>1.2</v>
      </c>
      <c r="AE194" s="105">
        <f ca="1">OFFSET(Tab.U.Default!$A$1,$AB194-1,MATCH("U_Class_"&amp;IF($J194="TopCeiling","UpperCeiling",$J194)&amp;"_"&amp;AE$87,Tab.U.Default!$1:$1,0)-1)</f>
        <v>0.8</v>
      </c>
      <c r="AF194" s="26">
        <f t="shared" ca="1" si="96"/>
        <v>1.2</v>
      </c>
      <c r="AG194" s="26">
        <f t="shared" ca="1" si="155"/>
        <v>1.2</v>
      </c>
      <c r="AH194" s="18" t="str">
        <f t="shared" si="124"/>
        <v>Refurbish</v>
      </c>
      <c r="AI194" s="18" t="str">
        <f t="shared" si="111"/>
        <v>Add</v>
      </c>
      <c r="AJ194" s="18">
        <f t="shared" si="98"/>
        <v>2016</v>
      </c>
      <c r="AK194" s="17">
        <f>MATCH(AJ194,Tab.Year.Period!$11:$11,1)-3</f>
        <v>12</v>
      </c>
      <c r="AL194" s="17">
        <f>MATCH(AL$88&amp;"."&amp;TEXT(AK194,"00"),Tab.Insulation.Default!$A:$A,0)</f>
        <v>23</v>
      </c>
      <c r="AM194" s="20" t="e">
        <f ca="1">IF(ISNA(IF(S194="",#N/A,S194)),OFFSET(Tab.Insulation.Default!$A$1,$AL194-1,MATCH(AM$87&amp;"_"&amp;$K194,Tab.Insulation.Default!$1:$1,0)-1),#N/A)</f>
        <v>#N/A</v>
      </c>
      <c r="AN194" s="27">
        <f t="shared" si="112"/>
        <v>12</v>
      </c>
      <c r="AO194" s="22">
        <f ca="1">IF(ISNA(IF(V194="",#N/A,V194)),OFFSET(Tab.Insulation.Default!$A$1,$AL194-1,MATCH(AO$87&amp;"_"&amp;$K194,Tab.Insulation.Default!$1:$1,0)-1),#N/A)</f>
        <v>3.5000000000000003E-2</v>
      </c>
      <c r="AP194" s="23">
        <f t="shared" ca="1" si="113"/>
        <v>3.5000000000000003E-2</v>
      </c>
      <c r="AQ194" s="29" t="str">
        <f t="shared" si="125"/>
        <v>Gen.Refurbished.12</v>
      </c>
      <c r="AR194" s="17">
        <f>MATCH(AR$88&amp;"."&amp;AQ194,Tab.Measure.f.Default!$A:$A,0)</f>
        <v>23</v>
      </c>
      <c r="AS194" s="21">
        <f ca="1">OFFSET(Tab.Measure.f.Default!$A$1,AR194-1,MATCH(AS$87&amp;"_"&amp;$J194,Tab.Measure.f.Default!$1:$1,0)-1)</f>
        <v>0.75</v>
      </c>
      <c r="AT194" s="29" t="str">
        <f t="shared" si="126"/>
        <v>MUH.NA.05</v>
      </c>
      <c r="AU194" s="17">
        <f>MATCH(AU$88&amp;"."&amp;AT194,Tab.Measure.f.Default!$A:$A,0)</f>
        <v>40</v>
      </c>
      <c r="AV194" s="21">
        <f ca="1">OFFSET(Tab.Measure.f.Default!$A$1,AU194-1,MATCH(AV$87&amp;"_"&amp;$J194,Tab.Measure.f.Default!$1:$1,0)-1)</f>
        <v>0.37</v>
      </c>
      <c r="AW194" s="30">
        <f t="shared" si="114"/>
        <v>0.8</v>
      </c>
      <c r="AX194" s="9">
        <f t="shared" ca="1" si="127"/>
        <v>0.83333333333333337</v>
      </c>
      <c r="AY194" s="9">
        <f t="shared" ca="1" si="128"/>
        <v>3.4285714285714279</v>
      </c>
      <c r="AZ194" s="9">
        <f t="shared" ca="1" si="153"/>
        <v>4.261904761904761</v>
      </c>
      <c r="BA194" s="9">
        <f t="shared" ca="1" si="154"/>
        <v>0.23463687150837995</v>
      </c>
      <c r="BB194" s="9">
        <f t="shared" ca="1" si="129"/>
        <v>0.42770949720670393</v>
      </c>
      <c r="BC194" s="32" t="str">
        <f t="shared" si="130"/>
        <v>D</v>
      </c>
      <c r="BD194" s="20" t="str">
        <f ca="1">OFFSET(Tab.Uncertainty.Levels!$A$1,MATCH(BD$88,Tab.Uncertainty.Levels!$A:$A,0)-1,MATCH(BD$87&amp;"_"&amp;BC194,Tab.Uncertainty.Levels!$1:$1,0)-1)</f>
        <v>Use of default values; building constructed until 1983</v>
      </c>
      <c r="BE194" s="24">
        <f ca="1">OFFSET(Tab.Uncertainty.Levels!$A$1,MATCH(BE$88,Tab.Uncertainty.Levels!$A:$A,0)-1,MATCH(BE$87&amp;"_"&amp;BC194,Tab.Uncertainty.Levels!$1:$1,0)-1)</f>
        <v>0.3</v>
      </c>
      <c r="BF194" s="32" t="str">
        <f t="shared" si="131"/>
        <v>-</v>
      </c>
      <c r="BG194" s="20" t="e">
        <f ca="1">OFFSET(Tab.Uncertainty.Levels!$A$1,MATCH(BG$88,Tab.Uncertainty.Levels!$A:$A,0)-1,MATCH(BG$87&amp;"_"&amp;BF194,Tab.Uncertainty.Levels!$1:$1,0)-1)</f>
        <v>#N/A</v>
      </c>
      <c r="BH194" s="24" t="e">
        <f ca="1">OFFSET(Tab.Uncertainty.Levels!$A$1,MATCH(BH$88,Tab.Uncertainty.Levels!$A:$A,0)-1,MATCH(BH$87&amp;"_"&amp;BF194,Tab.Uncertainty.Levels!$1:$1,0)-1)</f>
        <v>#N/A</v>
      </c>
      <c r="BI194" s="32" t="str">
        <f t="shared" si="137"/>
        <v>D</v>
      </c>
      <c r="BJ194" s="13">
        <f ca="1">IF(BF194="-",BE194,BH194)</f>
        <v>0.3</v>
      </c>
      <c r="BK194" s="32" t="str">
        <f>IF(OR($L194="NoDataSource",IFERROR(IF($S194="",#N/A,$S194),0)=0),IF(IFERROR(IF(U194="",#N/A,U194),0)=0,"E","D"),IF($L194="DesignDataPlusQA","A",IF($L194="DesignData","B","C")))</f>
        <v>C</v>
      </c>
      <c r="BL194" s="20" t="str">
        <f ca="1">OFFSET(Tab.Uncertainty.Levels!$A$1,MATCH(BL$88,Tab.Uncertainty.Levels!$A:$A,0)-1,MATCH(BL$87&amp;"_"&amp;BK194,Tab.Uncertainty.Levels!$1:$1,0)-1)</f>
        <v>Insulation thickness determined by inspection onsite / record or statement of owner</v>
      </c>
      <c r="BM194" s="24">
        <f ca="1">OFFSET(Tab.Uncertainty.Levels!$A$1,MATCH(BM$88,Tab.Uncertainty.Levels!$A:$A,0)-1,MATCH(BM$87&amp;"_"&amp;BK194,Tab.Uncertainty.Levels!$1:$1,0)-1)</f>
        <v>0.25</v>
      </c>
      <c r="BN194" s="34">
        <f ca="1">OFFSET(Tab.Uncertainty.Levels!$A$1,MATCH(BN$88,Tab.Uncertainty.Levels!$A:$A,0)-1,MATCH(BN$87&amp;"_"&amp;BK194,Tab.Uncertainty.Levels!$1:$1,0)-1)</f>
        <v>2</v>
      </c>
      <c r="BO194" s="13">
        <f ca="1">IFERROR(MIN(BM194,BN194/AN194),0)</f>
        <v>0.16666666666666666</v>
      </c>
      <c r="BP194" s="32" t="str">
        <f>IF(OR($L194="NoDataSource",IFERROR(IF($V194="",#N/A,$V194),0)=0),IF(IFERROR(IF(U194="",#N/A,U194),0)=0,"E","D"),IF($L194="DesignDataPlusQA","A",IF($L194="DesignData","B","C")))</f>
        <v>D</v>
      </c>
      <c r="BQ194" s="20" t="str">
        <f ca="1">OFFSET(Tab.Uncertainty.Levels!$A$1,MATCH(BQ$88,Tab.Uncertainty.Levels!$A:$A,0)-1,MATCH(BQ$87&amp;"_"&amp;BP194,Tab.Uncertainty.Levels!$1:$1,0)-1)</f>
        <v>Insulation available; no information about material</v>
      </c>
      <c r="BR194" s="97">
        <f ca="1">OFFSET(Tab.Uncertainty.Levels!$A$1,MATCH(BR$88,Tab.Uncertainty.Levels!$A:$A,0)-1,MATCH(BR$87&amp;"_"&amp;BP194,Tab.Uncertainty.Levels!$1:$1,0)-1)</f>
        <v>0.2</v>
      </c>
      <c r="BS194" s="32" t="str">
        <f>IF(L194="NoDataSource","D",IF(IFERROR(IF($T194="",#N/A,$T194),0)=0,IF(OR(IFERROR(IF($S194="",#N/A,$S194),0)&gt;0,$R194="Refurbish"),"D","E"),IF($L194="DesignDataPlusQA","A",IF($L194="DesignData","B","C"))))</f>
        <v>C</v>
      </c>
      <c r="BT194" s="20" t="str">
        <f ca="1">OFFSET(Tab.Uncertainty.Levels!$A$1,MATCH(BT$88,Tab.Uncertainty.Levels!$A:$A,0)-1,MATCH(BT$87&amp;"_"&amp;BS194,Tab.Uncertainty.Levels!$1:$1,0)-1)</f>
        <v>Insulation fraction determined by inspection onsite / record or statement of owner</v>
      </c>
      <c r="BU194" s="33">
        <f ca="1">OFFSET(Tab.Uncertainty.Levels!$A$1,MATCH(BU$88,Tab.Uncertainty.Levels!$A:$A,0)-1,MATCH(BU$87&amp;"_"&amp;BS194,Tab.Uncertainty.Levels!$1:$1,0)-1)</f>
        <v>0.2</v>
      </c>
      <c r="BV194" s="13">
        <f ca="1">IFERROR(MIN(BU194/AW194,1,(1-AW194)/AW194),0)</f>
        <v>0.24999999999999994</v>
      </c>
      <c r="BW194" s="96">
        <f ca="1">ABS(1+(AW194*(1/(1+AN194/100/AP194*AG194)^2-1)))*BJ194*$AG194</f>
        <v>8.3010892294247976E-2</v>
      </c>
      <c r="BX194" s="96">
        <f ca="1">ABS(-AG194+1/(1/AG194+AN194/100/AP194))*BV194*AW194</f>
        <v>0.19307262569832395</v>
      </c>
      <c r="BY194" s="96">
        <f ca="1">ABS(-AW194*AP194/((AP194/AG194+AN194/100)^2))*(BO194*AN194/100)</f>
        <v>2.516775381542399E-2</v>
      </c>
      <c r="BZ194" s="202">
        <f ca="1">ABS(AW194*AN194/100/(1/AG194*AP194+AN194/100)^2)*(BR194*AP194)</f>
        <v>3.0201304578508798E-2</v>
      </c>
      <c r="CA194" s="103">
        <f t="shared" ca="1" si="117"/>
        <v>0.21380687936521123</v>
      </c>
      <c r="CB194" s="37">
        <f t="shared" ca="1" si="132"/>
        <v>0.19408241536925794</v>
      </c>
      <c r="CC194" s="37">
        <f t="shared" ca="1" si="133"/>
        <v>0.45141065830720983</v>
      </c>
      <c r="CD194" s="37">
        <f t="shared" ca="1" si="134"/>
        <v>5.8843102572634455E-2</v>
      </c>
      <c r="CE194" s="37">
        <f t="shared" ca="1" si="135"/>
        <v>7.0611723087161377E-2</v>
      </c>
      <c r="CF194" s="13">
        <f t="shared" ca="1" si="136"/>
        <v>0.49988808002054347</v>
      </c>
      <c r="CG194" s="101">
        <f ca="1">AG194</f>
        <v>1.2</v>
      </c>
      <c r="CH194" s="101">
        <f>AW194</f>
        <v>0.8</v>
      </c>
      <c r="CI194" s="203">
        <f>IF(CH194&gt;0,AN194,0)</f>
        <v>12</v>
      </c>
      <c r="CJ194" s="102">
        <f ca="1">IF(AND(CH194&gt;0,CI194&gt;0),AP194,0)</f>
        <v>3.5000000000000003E-2</v>
      </c>
      <c r="CK194" s="102">
        <f ca="1">BB194</f>
        <v>0.42770949720670393</v>
      </c>
      <c r="CL194" s="37">
        <f t="shared" ca="1" si="156"/>
        <v>0.3</v>
      </c>
      <c r="CM194" s="37">
        <f t="shared" ca="1" si="157"/>
        <v>0.24999999999999994</v>
      </c>
      <c r="CN194" s="37">
        <f t="shared" ca="1" si="158"/>
        <v>0.16666666666666666</v>
      </c>
      <c r="CO194" s="37">
        <f t="shared" ca="1" si="159"/>
        <v>0.2</v>
      </c>
      <c r="CP194" s="37">
        <f t="shared" ca="1" si="160"/>
        <v>0.49988808002054347</v>
      </c>
      <c r="CQ194" s="95">
        <f t="shared" ca="1" si="161"/>
        <v>0.36</v>
      </c>
      <c r="CR194" s="95">
        <f t="shared" ca="1" si="162"/>
        <v>0.19999999999999996</v>
      </c>
      <c r="CS194" s="95">
        <f t="shared" ca="1" si="163"/>
        <v>2</v>
      </c>
      <c r="CT194" s="103">
        <f t="shared" ca="1" si="164"/>
        <v>7.000000000000001E-3</v>
      </c>
      <c r="CU194" s="95">
        <f t="shared" ca="1" si="165"/>
        <v>0.21380687936521123</v>
      </c>
      <c r="CV194" s="37">
        <f ca="1">$CB194^2/$CF194^2</f>
        <v>0.15073941127681745</v>
      </c>
      <c r="CW194" s="37">
        <f ca="1">$CD194^2/$CF194^2</f>
        <v>1.3856245350016141E-2</v>
      </c>
      <c r="CX194" s="37">
        <f ca="1">$CE194^2/$CF194^2</f>
        <v>1.995299330402326E-2</v>
      </c>
      <c r="CY194" s="37">
        <f ca="1">$CC194^2/$CF194^2</f>
        <v>0.81545135006914304</v>
      </c>
      <c r="DA194" s="98" t="s">
        <v>214</v>
      </c>
      <c r="DB194" s="36">
        <f ca="1">OFFSET($A$1,ROW(DB194)-1,MATCH(DA194,$1:$1,0)-1)</f>
        <v>12</v>
      </c>
      <c r="DC194" s="9">
        <f ca="1">BB194</f>
        <v>0.42770949720670393</v>
      </c>
      <c r="DD194" s="9">
        <f ca="1">$DC194+$CA194</f>
        <v>0.64151637657191518</v>
      </c>
      <c r="DE194" s="9">
        <f ca="1">$DC194-$CA194</f>
        <v>0.2139026178414927</v>
      </c>
      <c r="DF194" s="10">
        <f t="shared" ca="1" si="87"/>
        <v>0.49988808002054352</v>
      </c>
    </row>
    <row r="195" spans="1:110" s="8" customFormat="1" ht="32.4" customHeight="1">
      <c r="A195" s="206" t="s">
        <v>631</v>
      </c>
      <c r="B195" s="209" t="s">
        <v>2345</v>
      </c>
      <c r="C195" s="206" t="str">
        <f t="shared" si="151"/>
        <v>Parameter-Variation: d_Insulation = 16 cm</v>
      </c>
      <c r="D195" s="206"/>
      <c r="E195" s="206" t="s">
        <v>198</v>
      </c>
      <c r="F195" s="206" t="str">
        <f t="shared" si="166"/>
        <v>16 cm</v>
      </c>
      <c r="G195" s="206" t="s">
        <v>2170</v>
      </c>
      <c r="H195" s="206" t="s">
        <v>2171</v>
      </c>
      <c r="I195" s="156" t="s">
        <v>80</v>
      </c>
      <c r="J195" s="156" t="s">
        <v>134</v>
      </c>
      <c r="K195" s="156" t="s">
        <v>155</v>
      </c>
      <c r="L195" s="156" t="s">
        <v>66</v>
      </c>
      <c r="M195" s="156" t="s">
        <v>188</v>
      </c>
      <c r="N195" s="7">
        <v>1960</v>
      </c>
      <c r="O195" s="156">
        <v>1</v>
      </c>
      <c r="P195" s="156">
        <v>0</v>
      </c>
      <c r="Q195" s="156" t="s">
        <v>435</v>
      </c>
      <c r="R195" s="156" t="s">
        <v>58</v>
      </c>
      <c r="S195" s="19">
        <f t="shared" ref="S195:S201" si="167">S194+4</f>
        <v>16</v>
      </c>
      <c r="T195" s="19">
        <v>0.8</v>
      </c>
      <c r="U195" s="19">
        <v>2016</v>
      </c>
      <c r="V195" s="19" t="e">
        <v>#N/A</v>
      </c>
      <c r="W195" s="28" t="s">
        <v>59</v>
      </c>
      <c r="X195" s="19" t="e">
        <v>#N/A</v>
      </c>
      <c r="Y195" s="105">
        <f ca="1">IFERROR(OFFSET(Tab.Const.ConstrBorder!$A$1,MATCH(Q195,Tab.Const.ConstrBorder!$A:$A,0)-1,MATCH(Y$87,Tab.Const.ConstrBorder!$1:$1,0)-1),0)</f>
        <v>0</v>
      </c>
      <c r="Z195" s="18">
        <f t="shared" si="110"/>
        <v>1960</v>
      </c>
      <c r="AA195" s="17">
        <f>MATCH(Z195,Tab.Year.Period!$11:$11,1)-3</f>
        <v>5</v>
      </c>
      <c r="AB195" s="17">
        <f>MATCH(AB$88&amp;"."&amp;TEXT(AA195,"00"),Tab.U.Default!$A:$A,0)</f>
        <v>28</v>
      </c>
      <c r="AC195" s="105">
        <f ca="1">OFFSET(Tab.U.Default!$A$1,$AB195-1,MATCH("U_Class_"&amp;IF($J195="TopCeiling","UpperCeiling",$J195)&amp;"_"&amp;AC$87,Tab.U.Default!$1:$1,0)-1)</f>
        <v>1.2</v>
      </c>
      <c r="AD195" s="105">
        <f ca="1">OFFSET(Tab.U.Default!$A$1,$AB195-1,MATCH("U_Class_"&amp;IF($J195="TopCeiling","UpperCeiling",$J195)&amp;"_"&amp;AD$87,Tab.U.Default!$1:$1,0)-1)</f>
        <v>1.2</v>
      </c>
      <c r="AE195" s="105">
        <f ca="1">OFFSET(Tab.U.Default!$A$1,$AB195-1,MATCH("U_Class_"&amp;IF($J195="TopCeiling","UpperCeiling",$J195)&amp;"_"&amp;AE$87,Tab.U.Default!$1:$1,0)-1)</f>
        <v>0.8</v>
      </c>
      <c r="AF195" s="26">
        <f t="shared" ca="1" si="96"/>
        <v>1.2</v>
      </c>
      <c r="AG195" s="26">
        <f t="shared" ca="1" si="155"/>
        <v>1.2</v>
      </c>
      <c r="AH195" s="18" t="str">
        <f t="shared" si="124"/>
        <v>Refurbish</v>
      </c>
      <c r="AI195" s="18" t="str">
        <f t="shared" si="111"/>
        <v>Add</v>
      </c>
      <c r="AJ195" s="18">
        <f t="shared" si="98"/>
        <v>2016</v>
      </c>
      <c r="AK195" s="17">
        <f>MATCH(AJ195,Tab.Year.Period!$11:$11,1)-3</f>
        <v>12</v>
      </c>
      <c r="AL195" s="17">
        <f>MATCH(AL$88&amp;"."&amp;TEXT(AK195,"00"),Tab.Insulation.Default!$A:$A,0)</f>
        <v>23</v>
      </c>
      <c r="AM195" s="20" t="e">
        <f ca="1">IF(ISNA(IF(S195="",#N/A,S195)),OFFSET(Tab.Insulation.Default!$A$1,$AL195-1,MATCH(AM$87&amp;"_"&amp;$K195,Tab.Insulation.Default!$1:$1,0)-1),#N/A)</f>
        <v>#N/A</v>
      </c>
      <c r="AN195" s="27">
        <f t="shared" si="112"/>
        <v>16</v>
      </c>
      <c r="AO195" s="22">
        <f ca="1">IF(ISNA(IF(V195="",#N/A,V195)),OFFSET(Tab.Insulation.Default!$A$1,$AL195-1,MATCH(AO$87&amp;"_"&amp;$K195,Tab.Insulation.Default!$1:$1,0)-1),#N/A)</f>
        <v>3.5000000000000003E-2</v>
      </c>
      <c r="AP195" s="23">
        <f t="shared" ca="1" si="113"/>
        <v>3.5000000000000003E-2</v>
      </c>
      <c r="AQ195" s="29" t="str">
        <f t="shared" si="125"/>
        <v>Gen.Refurbished.12</v>
      </c>
      <c r="AR195" s="17">
        <f>MATCH(AR$88&amp;"."&amp;AQ195,Tab.Measure.f.Default!$A:$A,0)</f>
        <v>23</v>
      </c>
      <c r="AS195" s="21">
        <f ca="1">OFFSET(Tab.Measure.f.Default!$A$1,AR195-1,MATCH(AS$87&amp;"_"&amp;$J195,Tab.Measure.f.Default!$1:$1,0)-1)</f>
        <v>0.75</v>
      </c>
      <c r="AT195" s="29" t="str">
        <f t="shared" si="126"/>
        <v>MUH.NA.05</v>
      </c>
      <c r="AU195" s="17">
        <f>MATCH(AU$88&amp;"."&amp;AT195,Tab.Measure.f.Default!$A:$A,0)</f>
        <v>40</v>
      </c>
      <c r="AV195" s="21">
        <f ca="1">OFFSET(Tab.Measure.f.Default!$A$1,AU195-1,MATCH(AV$87&amp;"_"&amp;$J195,Tab.Measure.f.Default!$1:$1,0)-1)</f>
        <v>0.37</v>
      </c>
      <c r="AW195" s="30">
        <f t="shared" si="114"/>
        <v>0.8</v>
      </c>
      <c r="AX195" s="9">
        <f t="shared" ca="1" si="127"/>
        <v>0.83333333333333337</v>
      </c>
      <c r="AY195" s="9">
        <f t="shared" ca="1" si="128"/>
        <v>4.5714285714285712</v>
      </c>
      <c r="AZ195" s="9">
        <f t="shared" ca="1" si="153"/>
        <v>5.4047619047619042</v>
      </c>
      <c r="BA195" s="9">
        <f t="shared" ca="1" si="154"/>
        <v>0.18502202643171808</v>
      </c>
      <c r="BB195" s="9">
        <f t="shared" ca="1" si="129"/>
        <v>0.38801762114537441</v>
      </c>
      <c r="BC195" s="32" t="str">
        <f t="shared" si="130"/>
        <v>D</v>
      </c>
      <c r="BD195" s="20" t="str">
        <f ca="1">OFFSET(Tab.Uncertainty.Levels!$A$1,MATCH(BD$88,Tab.Uncertainty.Levels!$A:$A,0)-1,MATCH(BD$87&amp;"_"&amp;BC195,Tab.Uncertainty.Levels!$1:$1,0)-1)</f>
        <v>Use of default values; building constructed until 1983</v>
      </c>
      <c r="BE195" s="24">
        <f ca="1">OFFSET(Tab.Uncertainty.Levels!$A$1,MATCH(BE$88,Tab.Uncertainty.Levels!$A:$A,0)-1,MATCH(BE$87&amp;"_"&amp;BC195,Tab.Uncertainty.Levels!$1:$1,0)-1)</f>
        <v>0.3</v>
      </c>
      <c r="BF195" s="32" t="str">
        <f t="shared" si="131"/>
        <v>-</v>
      </c>
      <c r="BG195" s="20" t="e">
        <f ca="1">OFFSET(Tab.Uncertainty.Levels!$A$1,MATCH(BG$88,Tab.Uncertainty.Levels!$A:$A,0)-1,MATCH(BG$87&amp;"_"&amp;BF195,Tab.Uncertainty.Levels!$1:$1,0)-1)</f>
        <v>#N/A</v>
      </c>
      <c r="BH195" s="24" t="e">
        <f ca="1">OFFSET(Tab.Uncertainty.Levels!$A$1,MATCH(BH$88,Tab.Uncertainty.Levels!$A:$A,0)-1,MATCH(BH$87&amp;"_"&amp;BF195,Tab.Uncertainty.Levels!$1:$1,0)-1)</f>
        <v>#N/A</v>
      </c>
      <c r="BI195" s="32" t="str">
        <f t="shared" si="137"/>
        <v>D</v>
      </c>
      <c r="BJ195" s="13">
        <f ca="1">IF(BF195="-",BE195,BH195)</f>
        <v>0.3</v>
      </c>
      <c r="BK195" s="32" t="str">
        <f>IF(OR($L195="NoDataSource",IFERROR(IF($S195="",#N/A,$S195),0)=0),IF(IFERROR(IF(U195="",#N/A,U195),0)=0,"E","D"),IF($L195="DesignDataPlusQA","A",IF($L195="DesignData","B","C")))</f>
        <v>C</v>
      </c>
      <c r="BL195" s="20" t="str">
        <f ca="1">OFFSET(Tab.Uncertainty.Levels!$A$1,MATCH(BL$88,Tab.Uncertainty.Levels!$A:$A,0)-1,MATCH(BL$87&amp;"_"&amp;BK195,Tab.Uncertainty.Levels!$1:$1,0)-1)</f>
        <v>Insulation thickness determined by inspection onsite / record or statement of owner</v>
      </c>
      <c r="BM195" s="24">
        <f ca="1">OFFSET(Tab.Uncertainty.Levels!$A$1,MATCH(BM$88,Tab.Uncertainty.Levels!$A:$A,0)-1,MATCH(BM$87&amp;"_"&amp;BK195,Tab.Uncertainty.Levels!$1:$1,0)-1)</f>
        <v>0.25</v>
      </c>
      <c r="BN195" s="34">
        <f ca="1">OFFSET(Tab.Uncertainty.Levels!$A$1,MATCH(BN$88,Tab.Uncertainty.Levels!$A:$A,0)-1,MATCH(BN$87&amp;"_"&amp;BK195,Tab.Uncertainty.Levels!$1:$1,0)-1)</f>
        <v>2</v>
      </c>
      <c r="BO195" s="13">
        <f ca="1">IFERROR(MIN(BM195,BN195/AN195),0)</f>
        <v>0.125</v>
      </c>
      <c r="BP195" s="32" t="str">
        <f>IF(OR($L195="NoDataSource",IFERROR(IF($V195="",#N/A,$V195),0)=0),IF(IFERROR(IF(U195="",#N/A,U195),0)=0,"E","D"),IF($L195="DesignDataPlusQA","A",IF($L195="DesignData","B","C")))</f>
        <v>D</v>
      </c>
      <c r="BQ195" s="20" t="str">
        <f ca="1">OFFSET(Tab.Uncertainty.Levels!$A$1,MATCH(BQ$88,Tab.Uncertainty.Levels!$A:$A,0)-1,MATCH(BQ$87&amp;"_"&amp;BP195,Tab.Uncertainty.Levels!$1:$1,0)-1)</f>
        <v>Insulation available; no information about material</v>
      </c>
      <c r="BR195" s="97">
        <f ca="1">OFFSET(Tab.Uncertainty.Levels!$A$1,MATCH(BR$88,Tab.Uncertainty.Levels!$A:$A,0)-1,MATCH(BR$87&amp;"_"&amp;BP195,Tab.Uncertainty.Levels!$1:$1,0)-1)</f>
        <v>0.2</v>
      </c>
      <c r="BS195" s="32" t="str">
        <f>IF(L195="NoDataSource","D",IF(IFERROR(IF($T195="",#N/A,$T195),0)=0,IF(OR(IFERROR(IF($S195="",#N/A,$S195),0)&gt;0,$R195="Refurbish"),"D","E"),IF($L195="DesignDataPlusQA","A",IF($L195="DesignData","B","C"))))</f>
        <v>C</v>
      </c>
      <c r="BT195" s="20" t="str">
        <f ca="1">OFFSET(Tab.Uncertainty.Levels!$A$1,MATCH(BT$88,Tab.Uncertainty.Levels!$A:$A,0)-1,MATCH(BT$87&amp;"_"&amp;BS195,Tab.Uncertainty.Levels!$1:$1,0)-1)</f>
        <v>Insulation fraction determined by inspection onsite / record or statement of owner</v>
      </c>
      <c r="BU195" s="33">
        <f ca="1">OFFSET(Tab.Uncertainty.Levels!$A$1,MATCH(BU$88,Tab.Uncertainty.Levels!$A:$A,0)-1,MATCH(BU$87&amp;"_"&amp;BS195,Tab.Uncertainty.Levels!$1:$1,0)-1)</f>
        <v>0.2</v>
      </c>
      <c r="BV195" s="13">
        <f ca="1">IFERROR(MIN(BU195/AW195,1,(1-AW195)/AW195),0)</f>
        <v>0.24999999999999994</v>
      </c>
      <c r="BW195" s="96">
        <f ca="1">ABS(1+(AW195*(1/(1+AN195/100/AP195*AG195)^2-1)))*BJ195*$AG195</f>
        <v>7.8846630052979857E-2</v>
      </c>
      <c r="BX195" s="96">
        <f ca="1">ABS(-AG195+1/(1/AG195+AN195/100/AP195))*BV195*AW195</f>
        <v>0.20299559471365633</v>
      </c>
      <c r="BY195" s="96">
        <f ca="1">ABS(-AW195*AP195/((AP195/AG195+AN195/100)^2))*(BO195*AN195/100)</f>
        <v>1.5649440121096859E-2</v>
      </c>
      <c r="BZ195" s="202">
        <f ca="1">ABS(AW195*AN195/100/(1/AG195*AP195+AN195/100)^2)*(BR195*AP195)</f>
        <v>2.5039104193754973E-2</v>
      </c>
      <c r="CA195" s="103">
        <f t="shared" ca="1" si="117"/>
        <v>0.21976320041988831</v>
      </c>
      <c r="CB195" s="37">
        <f t="shared" ca="1" si="132"/>
        <v>0.20320373549076329</v>
      </c>
      <c r="CC195" s="37">
        <f t="shared" ca="1" si="133"/>
        <v>0.52316076294277924</v>
      </c>
      <c r="CD195" s="37">
        <f t="shared" ca="1" si="134"/>
        <v>4.0331776878848632E-2</v>
      </c>
      <c r="CE195" s="37">
        <f t="shared" ca="1" si="135"/>
        <v>6.4530843006157801E-2</v>
      </c>
      <c r="CF195" s="13">
        <f t="shared" ca="1" si="136"/>
        <v>0.56637427901129267</v>
      </c>
      <c r="CG195" s="101">
        <f ca="1">AG195</f>
        <v>1.2</v>
      </c>
      <c r="CH195" s="101">
        <f>AW195</f>
        <v>0.8</v>
      </c>
      <c r="CI195" s="203">
        <f>IF(CH195&gt;0,AN195,0)</f>
        <v>16</v>
      </c>
      <c r="CJ195" s="102">
        <f ca="1">IF(AND(CH195&gt;0,CI195&gt;0),AP195,0)</f>
        <v>3.5000000000000003E-2</v>
      </c>
      <c r="CK195" s="102">
        <f ca="1">BB195</f>
        <v>0.38801762114537441</v>
      </c>
      <c r="CL195" s="37">
        <f t="shared" ca="1" si="156"/>
        <v>0.3</v>
      </c>
      <c r="CM195" s="37">
        <f t="shared" ca="1" si="157"/>
        <v>0.24999999999999994</v>
      </c>
      <c r="CN195" s="37">
        <f t="shared" ca="1" si="158"/>
        <v>0.125</v>
      </c>
      <c r="CO195" s="37">
        <f t="shared" ca="1" si="159"/>
        <v>0.2</v>
      </c>
      <c r="CP195" s="37">
        <f t="shared" ca="1" si="160"/>
        <v>0.56637427901129267</v>
      </c>
      <c r="CQ195" s="95">
        <f t="shared" ca="1" si="161"/>
        <v>0.36</v>
      </c>
      <c r="CR195" s="95">
        <f t="shared" ca="1" si="162"/>
        <v>0.19999999999999996</v>
      </c>
      <c r="CS195" s="95">
        <f t="shared" ca="1" si="163"/>
        <v>2</v>
      </c>
      <c r="CT195" s="103">
        <f t="shared" ca="1" si="164"/>
        <v>7.000000000000001E-3</v>
      </c>
      <c r="CU195" s="95">
        <f t="shared" ca="1" si="165"/>
        <v>0.21976320041988834</v>
      </c>
      <c r="CV195" s="37">
        <f ca="1">$CB195^2/$CF195^2</f>
        <v>0.12872305250401919</v>
      </c>
      <c r="CW195" s="37">
        <f ca="1">$CD195^2/$CF195^2</f>
        <v>5.0709306037361665E-3</v>
      </c>
      <c r="CX195" s="37">
        <f ca="1">$CE195^2/$CF195^2</f>
        <v>1.2981582345564581E-2</v>
      </c>
      <c r="CY195" s="37">
        <f ca="1">$CC195^2/$CF195^2</f>
        <v>0.85322443454667996</v>
      </c>
      <c r="DA195" s="98" t="s">
        <v>214</v>
      </c>
      <c r="DB195" s="36">
        <f ca="1">OFFSET($A$1,ROW(DB195)-1,MATCH(DA195,$1:$1,0)-1)</f>
        <v>16</v>
      </c>
      <c r="DC195" s="9">
        <f ca="1">BB195</f>
        <v>0.38801762114537441</v>
      </c>
      <c r="DD195" s="9">
        <f ca="1">$DC195+$CA195</f>
        <v>0.6077808215652627</v>
      </c>
      <c r="DE195" s="9">
        <f ca="1">$DC195-$CA195</f>
        <v>0.1682544207254861</v>
      </c>
      <c r="DF195" s="10">
        <f t="shared" ca="1" si="87"/>
        <v>0.56637427901129256</v>
      </c>
    </row>
    <row r="196" spans="1:110" s="8" customFormat="1" ht="32.4" customHeight="1">
      <c r="A196" s="206" t="s">
        <v>632</v>
      </c>
      <c r="B196" s="209" t="s">
        <v>2345</v>
      </c>
      <c r="C196" s="206" t="str">
        <f t="shared" si="151"/>
        <v>Parameter-Variation: d_Insulation = 20 cm</v>
      </c>
      <c r="D196" s="206"/>
      <c r="E196" s="206" t="s">
        <v>198</v>
      </c>
      <c r="F196" s="206" t="str">
        <f t="shared" si="166"/>
        <v>20 cm</v>
      </c>
      <c r="G196" s="206" t="s">
        <v>2170</v>
      </c>
      <c r="H196" s="206" t="s">
        <v>2171</v>
      </c>
      <c r="I196" s="156" t="s">
        <v>80</v>
      </c>
      <c r="J196" s="156" t="s">
        <v>134</v>
      </c>
      <c r="K196" s="156" t="s">
        <v>155</v>
      </c>
      <c r="L196" s="156" t="s">
        <v>66</v>
      </c>
      <c r="M196" s="156" t="s">
        <v>188</v>
      </c>
      <c r="N196" s="7">
        <v>1960</v>
      </c>
      <c r="O196" s="156">
        <v>1</v>
      </c>
      <c r="P196" s="156">
        <v>0</v>
      </c>
      <c r="Q196" s="156" t="s">
        <v>435</v>
      </c>
      <c r="R196" s="156" t="s">
        <v>58</v>
      </c>
      <c r="S196" s="19">
        <f t="shared" si="167"/>
        <v>20</v>
      </c>
      <c r="T196" s="19">
        <v>0.8</v>
      </c>
      <c r="U196" s="19">
        <v>2016</v>
      </c>
      <c r="V196" s="19" t="e">
        <v>#N/A</v>
      </c>
      <c r="W196" s="28" t="s">
        <v>59</v>
      </c>
      <c r="X196" s="19" t="e">
        <v>#N/A</v>
      </c>
      <c r="Y196" s="105">
        <f ca="1">IFERROR(OFFSET(Tab.Const.ConstrBorder!$A$1,MATCH(Q196,Tab.Const.ConstrBorder!$A:$A,0)-1,MATCH(Y$87,Tab.Const.ConstrBorder!$1:$1,0)-1),0)</f>
        <v>0</v>
      </c>
      <c r="Z196" s="18">
        <f t="shared" si="110"/>
        <v>1960</v>
      </c>
      <c r="AA196" s="17">
        <f>MATCH(Z196,Tab.Year.Period!$11:$11,1)-3</f>
        <v>5</v>
      </c>
      <c r="AB196" s="17">
        <f>MATCH(AB$88&amp;"."&amp;TEXT(AA196,"00"),Tab.U.Default!$A:$A,0)</f>
        <v>28</v>
      </c>
      <c r="AC196" s="105">
        <f ca="1">OFFSET(Tab.U.Default!$A$1,$AB196-1,MATCH("U_Class_"&amp;IF($J196="TopCeiling","UpperCeiling",$J196)&amp;"_"&amp;AC$87,Tab.U.Default!$1:$1,0)-1)</f>
        <v>1.2</v>
      </c>
      <c r="AD196" s="105">
        <f ca="1">OFFSET(Tab.U.Default!$A$1,$AB196-1,MATCH("U_Class_"&amp;IF($J196="TopCeiling","UpperCeiling",$J196)&amp;"_"&amp;AD$87,Tab.U.Default!$1:$1,0)-1)</f>
        <v>1.2</v>
      </c>
      <c r="AE196" s="105">
        <f ca="1">OFFSET(Tab.U.Default!$A$1,$AB196-1,MATCH("U_Class_"&amp;IF($J196="TopCeiling","UpperCeiling",$J196)&amp;"_"&amp;AE$87,Tab.U.Default!$1:$1,0)-1)</f>
        <v>0.8</v>
      </c>
      <c r="AF196" s="26">
        <f t="shared" ca="1" si="96"/>
        <v>1.2</v>
      </c>
      <c r="AG196" s="26">
        <f t="shared" ca="1" si="155"/>
        <v>1.2</v>
      </c>
      <c r="AH196" s="18" t="str">
        <f t="shared" si="124"/>
        <v>Refurbish</v>
      </c>
      <c r="AI196" s="18" t="str">
        <f t="shared" si="111"/>
        <v>Add</v>
      </c>
      <c r="AJ196" s="18">
        <f t="shared" si="98"/>
        <v>2016</v>
      </c>
      <c r="AK196" s="17">
        <f>MATCH(AJ196,Tab.Year.Period!$11:$11,1)-3</f>
        <v>12</v>
      </c>
      <c r="AL196" s="17">
        <f>MATCH(AL$88&amp;"."&amp;TEXT(AK196,"00"),Tab.Insulation.Default!$A:$A,0)</f>
        <v>23</v>
      </c>
      <c r="AM196" s="20" t="e">
        <f ca="1">IF(ISNA(IF(S196="",#N/A,S196)),OFFSET(Tab.Insulation.Default!$A$1,$AL196-1,MATCH(AM$87&amp;"_"&amp;$K196,Tab.Insulation.Default!$1:$1,0)-1),#N/A)</f>
        <v>#N/A</v>
      </c>
      <c r="AN196" s="27">
        <f t="shared" si="112"/>
        <v>20</v>
      </c>
      <c r="AO196" s="22">
        <f ca="1">IF(ISNA(IF(V196="",#N/A,V196)),OFFSET(Tab.Insulation.Default!$A$1,$AL196-1,MATCH(AO$87&amp;"_"&amp;$K196,Tab.Insulation.Default!$1:$1,0)-1),#N/A)</f>
        <v>3.5000000000000003E-2</v>
      </c>
      <c r="AP196" s="23">
        <f t="shared" ca="1" si="113"/>
        <v>3.5000000000000003E-2</v>
      </c>
      <c r="AQ196" s="29" t="str">
        <f t="shared" si="125"/>
        <v>Gen.Refurbished.12</v>
      </c>
      <c r="AR196" s="17">
        <f>MATCH(AR$88&amp;"."&amp;AQ196,Tab.Measure.f.Default!$A:$A,0)</f>
        <v>23</v>
      </c>
      <c r="AS196" s="21">
        <f ca="1">OFFSET(Tab.Measure.f.Default!$A$1,AR196-1,MATCH(AS$87&amp;"_"&amp;$J196,Tab.Measure.f.Default!$1:$1,0)-1)</f>
        <v>0.75</v>
      </c>
      <c r="AT196" s="29" t="str">
        <f t="shared" si="126"/>
        <v>MUH.NA.05</v>
      </c>
      <c r="AU196" s="17">
        <f>MATCH(AU$88&amp;"."&amp;AT196,Tab.Measure.f.Default!$A:$A,0)</f>
        <v>40</v>
      </c>
      <c r="AV196" s="21">
        <f ca="1">OFFSET(Tab.Measure.f.Default!$A$1,AU196-1,MATCH(AV$87&amp;"_"&amp;$J196,Tab.Measure.f.Default!$1:$1,0)-1)</f>
        <v>0.37</v>
      </c>
      <c r="AW196" s="30">
        <f t="shared" si="114"/>
        <v>0.8</v>
      </c>
      <c r="AX196" s="9">
        <f t="shared" ca="1" si="127"/>
        <v>0.83333333333333337</v>
      </c>
      <c r="AY196" s="9">
        <f t="shared" ca="1" si="128"/>
        <v>5.7142857142857144</v>
      </c>
      <c r="AZ196" s="9">
        <f t="shared" ca="1" si="153"/>
        <v>6.5476190476190474</v>
      </c>
      <c r="BA196" s="9">
        <f t="shared" ca="1" si="154"/>
        <v>0.15272727272727274</v>
      </c>
      <c r="BB196" s="9">
        <f t="shared" ca="1" si="129"/>
        <v>0.36218181818181816</v>
      </c>
      <c r="BC196" s="32" t="str">
        <f t="shared" si="130"/>
        <v>D</v>
      </c>
      <c r="BD196" s="20" t="str">
        <f ca="1">OFFSET(Tab.Uncertainty.Levels!$A$1,MATCH(BD$88,Tab.Uncertainty.Levels!$A:$A,0)-1,MATCH(BD$87&amp;"_"&amp;BC196,Tab.Uncertainty.Levels!$1:$1,0)-1)</f>
        <v>Use of default values; building constructed until 1983</v>
      </c>
      <c r="BE196" s="24">
        <f ca="1">OFFSET(Tab.Uncertainty.Levels!$A$1,MATCH(BE$88,Tab.Uncertainty.Levels!$A:$A,0)-1,MATCH(BE$87&amp;"_"&amp;BC196,Tab.Uncertainty.Levels!$1:$1,0)-1)</f>
        <v>0.3</v>
      </c>
      <c r="BF196" s="32" t="str">
        <f t="shared" si="131"/>
        <v>-</v>
      </c>
      <c r="BG196" s="20" t="e">
        <f ca="1">OFFSET(Tab.Uncertainty.Levels!$A$1,MATCH(BG$88,Tab.Uncertainty.Levels!$A:$A,0)-1,MATCH(BG$87&amp;"_"&amp;BF196,Tab.Uncertainty.Levels!$1:$1,0)-1)</f>
        <v>#N/A</v>
      </c>
      <c r="BH196" s="24" t="e">
        <f ca="1">OFFSET(Tab.Uncertainty.Levels!$A$1,MATCH(BH$88,Tab.Uncertainty.Levels!$A:$A,0)-1,MATCH(BH$87&amp;"_"&amp;BF196,Tab.Uncertainty.Levels!$1:$1,0)-1)</f>
        <v>#N/A</v>
      </c>
      <c r="BI196" s="32" t="str">
        <f t="shared" si="137"/>
        <v>D</v>
      </c>
      <c r="BJ196" s="13">
        <f ca="1">IF(BF196="-",BE196,BH196)</f>
        <v>0.3</v>
      </c>
      <c r="BK196" s="32" t="str">
        <f>IF(OR($L196="NoDataSource",IFERROR(IF($S196="",#N/A,$S196),0)=0),IF(IFERROR(IF(U196="",#N/A,U196),0)=0,"E","D"),IF($L196="DesignDataPlusQA","A",IF($L196="DesignData","B","C")))</f>
        <v>C</v>
      </c>
      <c r="BL196" s="20" t="str">
        <f ca="1">OFFSET(Tab.Uncertainty.Levels!$A$1,MATCH(BL$88,Tab.Uncertainty.Levels!$A:$A,0)-1,MATCH(BL$87&amp;"_"&amp;BK196,Tab.Uncertainty.Levels!$1:$1,0)-1)</f>
        <v>Insulation thickness determined by inspection onsite / record or statement of owner</v>
      </c>
      <c r="BM196" s="24">
        <f ca="1">OFFSET(Tab.Uncertainty.Levels!$A$1,MATCH(BM$88,Tab.Uncertainty.Levels!$A:$A,0)-1,MATCH(BM$87&amp;"_"&amp;BK196,Tab.Uncertainty.Levels!$1:$1,0)-1)</f>
        <v>0.25</v>
      </c>
      <c r="BN196" s="34">
        <f ca="1">OFFSET(Tab.Uncertainty.Levels!$A$1,MATCH(BN$88,Tab.Uncertainty.Levels!$A:$A,0)-1,MATCH(BN$87&amp;"_"&amp;BK196,Tab.Uncertainty.Levels!$1:$1,0)-1)</f>
        <v>2</v>
      </c>
      <c r="BO196" s="13">
        <f ca="1">IFERROR(MIN(BM196,BN196/AN196),0)</f>
        <v>0.1</v>
      </c>
      <c r="BP196" s="32" t="str">
        <f>IF(OR($L196="NoDataSource",IFERROR(IF($V196="",#N/A,$V196),0)=0),IF(IFERROR(IF(U196="",#N/A,U196),0)=0,"E","D"),IF($L196="DesignDataPlusQA","A",IF($L196="DesignData","B","C")))</f>
        <v>D</v>
      </c>
      <c r="BQ196" s="20" t="str">
        <f ca="1">OFFSET(Tab.Uncertainty.Levels!$A$1,MATCH(BQ$88,Tab.Uncertainty.Levels!$A:$A,0)-1,MATCH(BQ$87&amp;"_"&amp;BP196,Tab.Uncertainty.Levels!$1:$1,0)-1)</f>
        <v>Insulation available; no information about material</v>
      </c>
      <c r="BR196" s="97">
        <f ca="1">OFFSET(Tab.Uncertainty.Levels!$A$1,MATCH(BR$88,Tab.Uncertainty.Levels!$A:$A,0)-1,MATCH(BR$87&amp;"_"&amp;BP196,Tab.Uncertainty.Levels!$1:$1,0)-1)</f>
        <v>0.2</v>
      </c>
      <c r="BS196" s="32" t="str">
        <f>IF(L196="NoDataSource","D",IF(IFERROR(IF($T196="",#N/A,$T196),0)=0,IF(OR(IFERROR(IF($S196="",#N/A,$S196),0)&gt;0,$R196="Refurbish"),"D","E"),IF($L196="DesignDataPlusQA","A",IF($L196="DesignData","B","C"))))</f>
        <v>C</v>
      </c>
      <c r="BT196" s="20" t="str">
        <f ca="1">OFFSET(Tab.Uncertainty.Levels!$A$1,MATCH(BT$88,Tab.Uncertainty.Levels!$A:$A,0)-1,MATCH(BT$87&amp;"_"&amp;BS196,Tab.Uncertainty.Levels!$1:$1,0)-1)</f>
        <v>Insulation fraction determined by inspection onsite / record or statement of owner</v>
      </c>
      <c r="BU196" s="33">
        <f ca="1">OFFSET(Tab.Uncertainty.Levels!$A$1,MATCH(BU$88,Tab.Uncertainty.Levels!$A:$A,0)-1,MATCH(BU$87&amp;"_"&amp;BS196,Tab.Uncertainty.Levels!$1:$1,0)-1)</f>
        <v>0.2</v>
      </c>
      <c r="BV196" s="13">
        <f ca="1">IFERROR(MIN(BU196/AW196,1,(1-AW196)/AW196),0)</f>
        <v>0.24999999999999994</v>
      </c>
      <c r="BW196" s="96">
        <f ca="1">ABS(1+(AW196*(1/(1+AN196/100/AP196*AG196)^2-1)))*BJ196*$AG196</f>
        <v>7.6665123966942153E-2</v>
      </c>
      <c r="BX196" s="96">
        <f ca="1">ABS(-AG196+1/(1/AG196+AN196/100/AP196))*BV196*AW196</f>
        <v>0.20945454545454539</v>
      </c>
      <c r="BY196" s="96">
        <f ca="1">ABS(-AW196*AP196/((AP196/AG196+AN196/100)^2))*(BO196*AN196/100)</f>
        <v>1.0663140495867768E-2</v>
      </c>
      <c r="BZ196" s="202">
        <f ca="1">ABS(AW196*AN196/100/(1/AG196*AP196+AN196/100)^2)*(BR196*AP196)</f>
        <v>2.132628099173554E-2</v>
      </c>
      <c r="CA196" s="103">
        <f t="shared" ca="1" si="117"/>
        <v>0.22431509238259004</v>
      </c>
      <c r="CB196" s="37">
        <f t="shared" ca="1" si="132"/>
        <v>0.21167579408543266</v>
      </c>
      <c r="CC196" s="37">
        <f t="shared" ca="1" si="133"/>
        <v>0.57831325301204806</v>
      </c>
      <c r="CD196" s="37">
        <f t="shared" ca="1" si="134"/>
        <v>2.9441401971522455E-2</v>
      </c>
      <c r="CE196" s="37">
        <f t="shared" ca="1" si="135"/>
        <v>5.8882803943044917E-2</v>
      </c>
      <c r="CF196" s="13">
        <f t="shared" ca="1" si="136"/>
        <v>0.61934387957040427</v>
      </c>
      <c r="CG196" s="101">
        <f ca="1">AG196</f>
        <v>1.2</v>
      </c>
      <c r="CH196" s="101">
        <f>AW196</f>
        <v>0.8</v>
      </c>
      <c r="CI196" s="203">
        <f>IF(CH196&gt;0,AN196,0)</f>
        <v>20</v>
      </c>
      <c r="CJ196" s="102">
        <f ca="1">IF(AND(CH196&gt;0,CI196&gt;0),AP196,0)</f>
        <v>3.5000000000000003E-2</v>
      </c>
      <c r="CK196" s="102">
        <f ca="1">BB196</f>
        <v>0.36218181818181816</v>
      </c>
      <c r="CL196" s="37">
        <f t="shared" ca="1" si="156"/>
        <v>0.3</v>
      </c>
      <c r="CM196" s="37">
        <f t="shared" ca="1" si="157"/>
        <v>0.24999999999999994</v>
      </c>
      <c r="CN196" s="37">
        <f t="shared" ca="1" si="158"/>
        <v>0.1</v>
      </c>
      <c r="CO196" s="37">
        <f t="shared" ca="1" si="159"/>
        <v>0.2</v>
      </c>
      <c r="CP196" s="37">
        <f t="shared" ca="1" si="160"/>
        <v>0.61934387957040427</v>
      </c>
      <c r="CQ196" s="95">
        <f t="shared" ca="1" si="161"/>
        <v>0.36</v>
      </c>
      <c r="CR196" s="95">
        <f t="shared" ca="1" si="162"/>
        <v>0.19999999999999996</v>
      </c>
      <c r="CS196" s="95">
        <f t="shared" ca="1" si="163"/>
        <v>2</v>
      </c>
      <c r="CT196" s="103">
        <f t="shared" ca="1" si="164"/>
        <v>7.000000000000001E-3</v>
      </c>
      <c r="CU196" s="95">
        <f t="shared" ca="1" si="165"/>
        <v>0.22431509238259004</v>
      </c>
      <c r="CV196" s="37">
        <f ca="1">$CB196^2/$CF196^2</f>
        <v>0.11680964254677033</v>
      </c>
      <c r="CW196" s="37">
        <f ca="1">$CD196^2/$CF196^2</f>
        <v>2.2597129438134997E-3</v>
      </c>
      <c r="CX196" s="37">
        <f ca="1">$CE196^2/$CF196^2</f>
        <v>9.0388517752540004E-3</v>
      </c>
      <c r="CY196" s="37">
        <f ca="1">$CC196^2/$CF196^2</f>
        <v>0.87189179273416229</v>
      </c>
      <c r="DA196" s="98" t="s">
        <v>214</v>
      </c>
      <c r="DB196" s="36">
        <f ca="1">OFFSET($A$1,ROW(DB196)-1,MATCH(DA196,$1:$1,0)-1)</f>
        <v>20</v>
      </c>
      <c r="DC196" s="9">
        <f ca="1">BB196</f>
        <v>0.36218181818181816</v>
      </c>
      <c r="DD196" s="9">
        <f ca="1">$DC196+$CA196</f>
        <v>0.58649691056440822</v>
      </c>
      <c r="DE196" s="9">
        <f ca="1">$DC196-$CA196</f>
        <v>0.13786672579922812</v>
      </c>
      <c r="DF196" s="10">
        <f t="shared" ca="1" si="87"/>
        <v>0.61934387957040438</v>
      </c>
    </row>
    <row r="197" spans="1:110" s="8" customFormat="1" ht="32.4" customHeight="1">
      <c r="A197" s="206" t="s">
        <v>633</v>
      </c>
      <c r="B197" s="209" t="s">
        <v>2345</v>
      </c>
      <c r="C197" s="206" t="str">
        <f t="shared" si="151"/>
        <v>Parameter-Variation: d_Insulation = 24 cm</v>
      </c>
      <c r="D197" s="206"/>
      <c r="E197" s="206" t="s">
        <v>198</v>
      </c>
      <c r="F197" s="206" t="str">
        <f t="shared" si="166"/>
        <v>24 cm</v>
      </c>
      <c r="G197" s="206" t="s">
        <v>2170</v>
      </c>
      <c r="H197" s="206" t="s">
        <v>2171</v>
      </c>
      <c r="I197" s="156" t="s">
        <v>80</v>
      </c>
      <c r="J197" s="156" t="s">
        <v>134</v>
      </c>
      <c r="K197" s="156" t="s">
        <v>155</v>
      </c>
      <c r="L197" s="156" t="s">
        <v>66</v>
      </c>
      <c r="M197" s="156" t="s">
        <v>188</v>
      </c>
      <c r="N197" s="7">
        <v>1960</v>
      </c>
      <c r="O197" s="156">
        <v>1</v>
      </c>
      <c r="P197" s="156">
        <v>0</v>
      </c>
      <c r="Q197" s="156" t="s">
        <v>435</v>
      </c>
      <c r="R197" s="156" t="s">
        <v>58</v>
      </c>
      <c r="S197" s="19">
        <f t="shared" si="167"/>
        <v>24</v>
      </c>
      <c r="T197" s="19">
        <v>0.8</v>
      </c>
      <c r="U197" s="19">
        <v>2016</v>
      </c>
      <c r="V197" s="19" t="e">
        <v>#N/A</v>
      </c>
      <c r="W197" s="28" t="s">
        <v>59</v>
      </c>
      <c r="X197" s="19" t="e">
        <v>#N/A</v>
      </c>
      <c r="Y197" s="105">
        <f ca="1">IFERROR(OFFSET(Tab.Const.ConstrBorder!$A$1,MATCH(Q197,Tab.Const.ConstrBorder!$A:$A,0)-1,MATCH(Y$87,Tab.Const.ConstrBorder!$1:$1,0)-1),0)</f>
        <v>0</v>
      </c>
      <c r="Z197" s="18">
        <f t="shared" si="110"/>
        <v>1960</v>
      </c>
      <c r="AA197" s="17">
        <f>MATCH(Z197,Tab.Year.Period!$11:$11,1)-3</f>
        <v>5</v>
      </c>
      <c r="AB197" s="17">
        <f>MATCH(AB$88&amp;"."&amp;TEXT(AA197,"00"),Tab.U.Default!$A:$A,0)</f>
        <v>28</v>
      </c>
      <c r="AC197" s="105">
        <f ca="1">OFFSET(Tab.U.Default!$A$1,$AB197-1,MATCH("U_Class_"&amp;IF($J197="TopCeiling","UpperCeiling",$J197)&amp;"_"&amp;AC$87,Tab.U.Default!$1:$1,0)-1)</f>
        <v>1.2</v>
      </c>
      <c r="AD197" s="105">
        <f ca="1">OFFSET(Tab.U.Default!$A$1,$AB197-1,MATCH("U_Class_"&amp;IF($J197="TopCeiling","UpperCeiling",$J197)&amp;"_"&amp;AD$87,Tab.U.Default!$1:$1,0)-1)</f>
        <v>1.2</v>
      </c>
      <c r="AE197" s="105">
        <f ca="1">OFFSET(Tab.U.Default!$A$1,$AB197-1,MATCH("U_Class_"&amp;IF($J197="TopCeiling","UpperCeiling",$J197)&amp;"_"&amp;AE$87,Tab.U.Default!$1:$1,0)-1)</f>
        <v>0.8</v>
      </c>
      <c r="AF197" s="26">
        <f t="shared" ca="1" si="96"/>
        <v>1.2</v>
      </c>
      <c r="AG197" s="26">
        <f t="shared" ca="1" si="155"/>
        <v>1.2</v>
      </c>
      <c r="AH197" s="18" t="str">
        <f t="shared" ref="AH197:AH228" si="168">IF(R197&lt;&gt;"_NA_",R197,IF(Z197&lt;AH$88,"Refurbish","Original"))</f>
        <v>Refurbish</v>
      </c>
      <c r="AI197" s="18" t="str">
        <f t="shared" si="111"/>
        <v>Add</v>
      </c>
      <c r="AJ197" s="18">
        <f t="shared" si="98"/>
        <v>2016</v>
      </c>
      <c r="AK197" s="17">
        <f>MATCH(AJ197,Tab.Year.Period!$11:$11,1)-3</f>
        <v>12</v>
      </c>
      <c r="AL197" s="17">
        <f>MATCH(AL$88&amp;"."&amp;TEXT(AK197,"00"),Tab.Insulation.Default!$A:$A,0)</f>
        <v>23</v>
      </c>
      <c r="AM197" s="20" t="e">
        <f ca="1">IF(ISNA(IF(S197="",#N/A,S197)),OFFSET(Tab.Insulation.Default!$A$1,$AL197-1,MATCH(AM$87&amp;"_"&amp;$K197,Tab.Insulation.Default!$1:$1,0)-1),#N/A)</f>
        <v>#N/A</v>
      </c>
      <c r="AN197" s="27">
        <f t="shared" si="112"/>
        <v>24</v>
      </c>
      <c r="AO197" s="22">
        <f ca="1">IF(ISNA(IF(V197="",#N/A,V197)),OFFSET(Tab.Insulation.Default!$A$1,$AL197-1,MATCH(AO$87&amp;"_"&amp;$K197,Tab.Insulation.Default!$1:$1,0)-1),#N/A)</f>
        <v>3.5000000000000003E-2</v>
      </c>
      <c r="AP197" s="23">
        <f t="shared" ca="1" si="113"/>
        <v>3.5000000000000003E-2</v>
      </c>
      <c r="AQ197" s="29" t="str">
        <f t="shared" ref="AQ197:AQ228" si="169">"Gen.Refurbished."&amp;TEXT(AK197,"00")</f>
        <v>Gen.Refurbished.12</v>
      </c>
      <c r="AR197" s="17">
        <f>MATCH(AR$88&amp;"."&amp;AQ197,Tab.Measure.f.Default!$A:$A,0)</f>
        <v>23</v>
      </c>
      <c r="AS197" s="21">
        <f ca="1">OFFSET(Tab.Measure.f.Default!$A$1,AR197-1,MATCH(AS$87&amp;"_"&amp;$J197,Tab.Measure.f.Default!$1:$1,0)-1)</f>
        <v>0.75</v>
      </c>
      <c r="AT197" s="29" t="str">
        <f t="shared" ref="AT197:AT228" si="170">I197&amp;".NA."&amp;TEXT(AA197,"00")</f>
        <v>MUH.NA.05</v>
      </c>
      <c r="AU197" s="17">
        <f>MATCH(AU$88&amp;"."&amp;AT197,Tab.Measure.f.Default!$A:$A,0)</f>
        <v>40</v>
      </c>
      <c r="AV197" s="21">
        <f ca="1">OFFSET(Tab.Measure.f.Default!$A$1,AU197-1,MATCH(AV$87&amp;"_"&amp;$J197,Tab.Measure.f.Default!$1:$1,0)-1)</f>
        <v>0.37</v>
      </c>
      <c r="AW197" s="30">
        <f t="shared" si="114"/>
        <v>0.8</v>
      </c>
      <c r="AX197" s="9">
        <f t="shared" ref="AX197:AX228" ca="1" si="171">1/AG197</f>
        <v>0.83333333333333337</v>
      </c>
      <c r="AY197" s="9">
        <f t="shared" ref="AY197:AY228" ca="1" si="172">IF(AW197&gt;0,AN197/100/AP197,0)</f>
        <v>6.8571428571428559</v>
      </c>
      <c r="AZ197" s="9">
        <f t="shared" ca="1" si="153"/>
        <v>7.6904761904761889</v>
      </c>
      <c r="BA197" s="9">
        <f t="shared" ca="1" si="154"/>
        <v>0.13003095975232201</v>
      </c>
      <c r="BB197" s="9">
        <f t="shared" ref="BB197:BB228" ca="1" si="173">(1-AW197)*AG197+AW197*BA197</f>
        <v>0.34402476780185753</v>
      </c>
      <c r="BC197" s="32" t="str">
        <f t="shared" ref="BC197:BC228" si="174">IF(IFERROR(IF(N197="",#N/A,N197),0)=0,"E",IF(N197&gt;=1995,"B",IF(N197&gt;=1983,"C","D")))</f>
        <v>D</v>
      </c>
      <c r="BD197" s="20" t="str">
        <f ca="1">OFFSET(Tab.Uncertainty.Levels!$A$1,MATCH(BD$88,Tab.Uncertainty.Levels!$A:$A,0)-1,MATCH(BD$87&amp;"_"&amp;BC197,Tab.Uncertainty.Levels!$1:$1,0)-1)</f>
        <v>Use of default values; building constructed until 1983</v>
      </c>
      <c r="BE197" s="24">
        <f ca="1">OFFSET(Tab.Uncertainty.Levels!$A$1,MATCH(BE$88,Tab.Uncertainty.Levels!$A:$A,0)-1,MATCH(BE$87&amp;"_"&amp;BC197,Tab.Uncertainty.Levels!$1:$1,0)-1)</f>
        <v>0.3</v>
      </c>
      <c r="BF197" s="32" t="str">
        <f t="shared" ref="BF197:BF228" si="175">IF(AND(NOT(M197="Manual"),ISNA(IF($X197="",#N/A,$X197))),"-",IF($L197="DesignDataPlusQA","A",IF($L197="DesignData","B",IF($L197="InspectionOnSite","C",IF($L197="NoDataSource","E","D")))))</f>
        <v>-</v>
      </c>
      <c r="BG197" s="20" t="e">
        <f ca="1">OFFSET(Tab.Uncertainty.Levels!$A$1,MATCH(BG$88,Tab.Uncertainty.Levels!$A:$A,0)-1,MATCH(BG$87&amp;"_"&amp;BF197,Tab.Uncertainty.Levels!$1:$1,0)-1)</f>
        <v>#N/A</v>
      </c>
      <c r="BH197" s="24" t="e">
        <f ca="1">OFFSET(Tab.Uncertainty.Levels!$A$1,MATCH(BH$88,Tab.Uncertainty.Levels!$A:$A,0)-1,MATCH(BH$87&amp;"_"&amp;BF197,Tab.Uncertainty.Levels!$1:$1,0)-1)</f>
        <v>#N/A</v>
      </c>
      <c r="BI197" s="32" t="str">
        <f t="shared" si="137"/>
        <v>D</v>
      </c>
      <c r="BJ197" s="13">
        <f ca="1">IF(BF197="-",BE197,BH197)</f>
        <v>0.3</v>
      </c>
      <c r="BK197" s="32" t="str">
        <f>IF(OR($L197="NoDataSource",IFERROR(IF($S197="",#N/A,$S197),0)=0),IF(IFERROR(IF(U197="",#N/A,U197),0)=0,"E","D"),IF($L197="DesignDataPlusQA","A",IF($L197="DesignData","B","C")))</f>
        <v>C</v>
      </c>
      <c r="BL197" s="20" t="str">
        <f ca="1">OFFSET(Tab.Uncertainty.Levels!$A$1,MATCH(BL$88,Tab.Uncertainty.Levels!$A:$A,0)-1,MATCH(BL$87&amp;"_"&amp;BK197,Tab.Uncertainty.Levels!$1:$1,0)-1)</f>
        <v>Insulation thickness determined by inspection onsite / record or statement of owner</v>
      </c>
      <c r="BM197" s="24">
        <f ca="1">OFFSET(Tab.Uncertainty.Levels!$A$1,MATCH(BM$88,Tab.Uncertainty.Levels!$A:$A,0)-1,MATCH(BM$87&amp;"_"&amp;BK197,Tab.Uncertainty.Levels!$1:$1,0)-1)</f>
        <v>0.25</v>
      </c>
      <c r="BN197" s="34">
        <f ca="1">OFFSET(Tab.Uncertainty.Levels!$A$1,MATCH(BN$88,Tab.Uncertainty.Levels!$A:$A,0)-1,MATCH(BN$87&amp;"_"&amp;BK197,Tab.Uncertainty.Levels!$1:$1,0)-1)</f>
        <v>2</v>
      </c>
      <c r="BO197" s="13">
        <f ca="1">IFERROR(MIN(BM197,BN197/AN197),0)</f>
        <v>8.3333333333333329E-2</v>
      </c>
      <c r="BP197" s="32" t="str">
        <f>IF(OR($L197="NoDataSource",IFERROR(IF($V197="",#N/A,$V197),0)=0),IF(IFERROR(IF(U197="",#N/A,U197),0)=0,"E","D"),IF($L197="DesignDataPlusQA","A",IF($L197="DesignData","B","C")))</f>
        <v>D</v>
      </c>
      <c r="BQ197" s="20" t="str">
        <f ca="1">OFFSET(Tab.Uncertainty.Levels!$A$1,MATCH(BQ$88,Tab.Uncertainty.Levels!$A:$A,0)-1,MATCH(BQ$87&amp;"_"&amp;BP197,Tab.Uncertainty.Levels!$1:$1,0)-1)</f>
        <v>Insulation available; no information about material</v>
      </c>
      <c r="BR197" s="97">
        <f ca="1">OFFSET(Tab.Uncertainty.Levels!$A$1,MATCH(BR$88,Tab.Uncertainty.Levels!$A:$A,0)-1,MATCH(BR$87&amp;"_"&amp;BP197,Tab.Uncertainty.Levels!$1:$1,0)-1)</f>
        <v>0.2</v>
      </c>
      <c r="BS197" s="32" t="str">
        <f>IF(L197="NoDataSource","D",IF(IFERROR(IF($T197="",#N/A,$T197),0)=0,IF(OR(IFERROR(IF($S197="",#N/A,$S197),0)&gt;0,$R197="Refurbish"),"D","E"),IF($L197="DesignDataPlusQA","A",IF($L197="DesignData","B","C"))))</f>
        <v>C</v>
      </c>
      <c r="BT197" s="20" t="str">
        <f ca="1">OFFSET(Tab.Uncertainty.Levels!$A$1,MATCH(BT$88,Tab.Uncertainty.Levels!$A:$A,0)-1,MATCH(BT$87&amp;"_"&amp;BS197,Tab.Uncertainty.Levels!$1:$1,0)-1)</f>
        <v>Insulation fraction determined by inspection onsite / record or statement of owner</v>
      </c>
      <c r="BU197" s="33">
        <f ca="1">OFFSET(Tab.Uncertainty.Levels!$A$1,MATCH(BU$88,Tab.Uncertainty.Levels!$A:$A,0)-1,MATCH(BU$87&amp;"_"&amp;BS197,Tab.Uncertainty.Levels!$1:$1,0)-1)</f>
        <v>0.2</v>
      </c>
      <c r="BV197" s="13">
        <f ca="1">IFERROR(MIN(BU197/AW197,1,(1-AW197)/AW197),0)</f>
        <v>0.24999999999999994</v>
      </c>
      <c r="BW197" s="96">
        <f ca="1">ABS(1+(AW197*(1/(1+AN197/100/AP197*AG197)^2-1)))*BJ197*$AG197</f>
        <v>7.538161009882198E-2</v>
      </c>
      <c r="BX197" s="96">
        <f ca="1">ABS(-AG197+1/(1/AG197+AN197/100/AP197))*BV197*AW197</f>
        <v>0.21399380804953558</v>
      </c>
      <c r="BY197" s="96">
        <f ca="1">ABS(-AW197*AP197/((AP197/AG197+AN197/100)^2))*(BO197*AN197/100)</f>
        <v>7.7293945115931338E-3</v>
      </c>
      <c r="BZ197" s="202">
        <f ca="1">ABS(AW197*AN197/100/(1/AG197*AP197+AN197/100)^2)*(BR197*AP197)</f>
        <v>1.8550546827823523E-2</v>
      </c>
      <c r="CA197" s="103">
        <f t="shared" ca="1" si="117"/>
        <v>0.22777094492441177</v>
      </c>
      <c r="CB197" s="37">
        <f t="shared" ref="CB197:CB228" ca="1" si="176">BW197/$BB197</f>
        <v>0.21911681121237853</v>
      </c>
      <c r="CC197" s="37">
        <f t="shared" ref="CC197:CC228" ca="1" si="177">BX197/$BB197</f>
        <v>0.62203023758099352</v>
      </c>
      <c r="CD197" s="37">
        <f t="shared" ref="CD197:CD228" ca="1" si="178">BY197/$BB197</f>
        <v>2.2467552441005963E-2</v>
      </c>
      <c r="CE197" s="37">
        <f t="shared" ref="CE197:CE228" ca="1" si="179">BZ197/$BB197</f>
        <v>5.3922125858414313E-2</v>
      </c>
      <c r="CF197" s="13">
        <f t="shared" ref="CF197:CF228" ca="1" si="180">SQRT(SUMPRODUCT(CB197:CE197,CB197:CE197))</f>
        <v>0.66207717072160732</v>
      </c>
      <c r="CG197" s="101">
        <f ca="1">AG197</f>
        <v>1.2</v>
      </c>
      <c r="CH197" s="101">
        <f>AW197</f>
        <v>0.8</v>
      </c>
      <c r="CI197" s="203">
        <f>IF(CH197&gt;0,AN197,0)</f>
        <v>24</v>
      </c>
      <c r="CJ197" s="102">
        <f ca="1">IF(AND(CH197&gt;0,CI197&gt;0),AP197,0)</f>
        <v>3.5000000000000003E-2</v>
      </c>
      <c r="CK197" s="102">
        <f ca="1">BB197</f>
        <v>0.34402476780185753</v>
      </c>
      <c r="CL197" s="37">
        <f t="shared" ca="1" si="156"/>
        <v>0.3</v>
      </c>
      <c r="CM197" s="37">
        <f t="shared" ca="1" si="157"/>
        <v>0.24999999999999994</v>
      </c>
      <c r="CN197" s="37">
        <f t="shared" ca="1" si="158"/>
        <v>8.3333333333333329E-2</v>
      </c>
      <c r="CO197" s="37">
        <f t="shared" ca="1" si="159"/>
        <v>0.2</v>
      </c>
      <c r="CP197" s="37">
        <f t="shared" ca="1" si="160"/>
        <v>0.66207717072160732</v>
      </c>
      <c r="CQ197" s="95">
        <f t="shared" ca="1" si="161"/>
        <v>0.36</v>
      </c>
      <c r="CR197" s="95">
        <f t="shared" ca="1" si="162"/>
        <v>0.19999999999999996</v>
      </c>
      <c r="CS197" s="95">
        <f t="shared" ca="1" si="163"/>
        <v>2</v>
      </c>
      <c r="CT197" s="103">
        <f t="shared" ca="1" si="164"/>
        <v>7.000000000000001E-3</v>
      </c>
      <c r="CU197" s="95">
        <f t="shared" ca="1" si="165"/>
        <v>0.22777094492441174</v>
      </c>
      <c r="CV197" s="37">
        <f ca="1">$CB197^2/$CF197^2</f>
        <v>0.10953027344026736</v>
      </c>
      <c r="CW197" s="37">
        <f ca="1">$CD197^2/$CF197^2</f>
        <v>1.1515804990020217E-3</v>
      </c>
      <c r="CX197" s="37">
        <f ca="1">$CE197^2/$CF197^2</f>
        <v>6.6331036742516445E-3</v>
      </c>
      <c r="CY197" s="37">
        <f ca="1">$CC197^2/$CF197^2</f>
        <v>0.88268504238647894</v>
      </c>
      <c r="DA197" s="98" t="s">
        <v>214</v>
      </c>
      <c r="DB197" s="36">
        <f ca="1">OFFSET($A$1,ROW(DB197)-1,MATCH(DA197,$1:$1,0)-1)</f>
        <v>24</v>
      </c>
      <c r="DC197" s="9">
        <f ca="1">BB197</f>
        <v>0.34402476780185753</v>
      </c>
      <c r="DD197" s="9">
        <f ca="1">$DC197+$CA197</f>
        <v>0.57179571272626928</v>
      </c>
      <c r="DE197" s="9">
        <f ca="1">$DC197-$CA197</f>
        <v>0.11625382287744576</v>
      </c>
      <c r="DF197" s="10">
        <f t="shared" ca="1" si="87"/>
        <v>0.66207717072160732</v>
      </c>
    </row>
    <row r="198" spans="1:110" s="8" customFormat="1" ht="32.4" customHeight="1">
      <c r="A198" s="206" t="s">
        <v>634</v>
      </c>
      <c r="B198" s="209" t="s">
        <v>2345</v>
      </c>
      <c r="C198" s="206" t="str">
        <f t="shared" si="151"/>
        <v>Parameter-Variation: d_Insulation = 28 cm</v>
      </c>
      <c r="D198" s="206"/>
      <c r="E198" s="206" t="s">
        <v>198</v>
      </c>
      <c r="F198" s="206" t="str">
        <f t="shared" si="166"/>
        <v>28 cm</v>
      </c>
      <c r="G198" s="206" t="s">
        <v>2170</v>
      </c>
      <c r="H198" s="206" t="s">
        <v>2171</v>
      </c>
      <c r="I198" s="156" t="s">
        <v>80</v>
      </c>
      <c r="J198" s="156" t="s">
        <v>134</v>
      </c>
      <c r="K198" s="156" t="s">
        <v>155</v>
      </c>
      <c r="L198" s="156" t="s">
        <v>66</v>
      </c>
      <c r="M198" s="156" t="s">
        <v>188</v>
      </c>
      <c r="N198" s="7">
        <v>1960</v>
      </c>
      <c r="O198" s="156">
        <v>1</v>
      </c>
      <c r="P198" s="156">
        <v>0</v>
      </c>
      <c r="Q198" s="156" t="s">
        <v>435</v>
      </c>
      <c r="R198" s="156" t="s">
        <v>58</v>
      </c>
      <c r="S198" s="19">
        <f t="shared" si="167"/>
        <v>28</v>
      </c>
      <c r="T198" s="19">
        <v>0.8</v>
      </c>
      <c r="U198" s="19">
        <v>2016</v>
      </c>
      <c r="V198" s="19" t="e">
        <v>#N/A</v>
      </c>
      <c r="W198" s="28" t="s">
        <v>59</v>
      </c>
      <c r="X198" s="19" t="e">
        <v>#N/A</v>
      </c>
      <c r="Y198" s="105">
        <f ca="1">IFERROR(OFFSET(Tab.Const.ConstrBorder!$A$1,MATCH(Q198,Tab.Const.ConstrBorder!$A:$A,0)-1,MATCH(Y$87,Tab.Const.ConstrBorder!$1:$1,0)-1),0)</f>
        <v>0</v>
      </c>
      <c r="Z198" s="18">
        <f t="shared" si="110"/>
        <v>1960</v>
      </c>
      <c r="AA198" s="17">
        <f>MATCH(Z198,Tab.Year.Period!$11:$11,1)-3</f>
        <v>5</v>
      </c>
      <c r="AB198" s="17">
        <f>MATCH(AB$88&amp;"."&amp;TEXT(AA198,"00"),Tab.U.Default!$A:$A,0)</f>
        <v>28</v>
      </c>
      <c r="AC198" s="105">
        <f ca="1">OFFSET(Tab.U.Default!$A$1,$AB198-1,MATCH("U_Class_"&amp;IF($J198="TopCeiling","UpperCeiling",$J198)&amp;"_"&amp;AC$87,Tab.U.Default!$1:$1,0)-1)</f>
        <v>1.2</v>
      </c>
      <c r="AD198" s="105">
        <f ca="1">OFFSET(Tab.U.Default!$A$1,$AB198-1,MATCH("U_Class_"&amp;IF($J198="TopCeiling","UpperCeiling",$J198)&amp;"_"&amp;AD$87,Tab.U.Default!$1:$1,0)-1)</f>
        <v>1.2</v>
      </c>
      <c r="AE198" s="105">
        <f ca="1">OFFSET(Tab.U.Default!$A$1,$AB198-1,MATCH("U_Class_"&amp;IF($J198="TopCeiling","UpperCeiling",$J198)&amp;"_"&amp;AE$87,Tab.U.Default!$1:$1,0)-1)</f>
        <v>0.8</v>
      </c>
      <c r="AF198" s="26">
        <f t="shared" ca="1" si="96"/>
        <v>1.2</v>
      </c>
      <c r="AG198" s="26">
        <f t="shared" ca="1" si="155"/>
        <v>1.2</v>
      </c>
      <c r="AH198" s="18" t="str">
        <f t="shared" si="168"/>
        <v>Refurbish</v>
      </c>
      <c r="AI198" s="18" t="str">
        <f t="shared" si="111"/>
        <v>Add</v>
      </c>
      <c r="AJ198" s="18">
        <f t="shared" si="98"/>
        <v>2016</v>
      </c>
      <c r="AK198" s="17">
        <f>MATCH(AJ198,Tab.Year.Period!$11:$11,1)-3</f>
        <v>12</v>
      </c>
      <c r="AL198" s="17">
        <f>MATCH(AL$88&amp;"."&amp;TEXT(AK198,"00"),Tab.Insulation.Default!$A:$A,0)</f>
        <v>23</v>
      </c>
      <c r="AM198" s="20" t="e">
        <f ca="1">IF(ISNA(IF(S198="",#N/A,S198)),OFFSET(Tab.Insulation.Default!$A$1,$AL198-1,MATCH(AM$87&amp;"_"&amp;$K198,Tab.Insulation.Default!$1:$1,0)-1),#N/A)</f>
        <v>#N/A</v>
      </c>
      <c r="AN198" s="27">
        <f t="shared" si="112"/>
        <v>28</v>
      </c>
      <c r="AO198" s="22">
        <f ca="1">IF(ISNA(IF(V198="",#N/A,V198)),OFFSET(Tab.Insulation.Default!$A$1,$AL198-1,MATCH(AO$87&amp;"_"&amp;$K198,Tab.Insulation.Default!$1:$1,0)-1),#N/A)</f>
        <v>3.5000000000000003E-2</v>
      </c>
      <c r="AP198" s="23">
        <f t="shared" ca="1" si="113"/>
        <v>3.5000000000000003E-2</v>
      </c>
      <c r="AQ198" s="29" t="str">
        <f t="shared" si="169"/>
        <v>Gen.Refurbished.12</v>
      </c>
      <c r="AR198" s="17">
        <f>MATCH(AR$88&amp;"."&amp;AQ198,Tab.Measure.f.Default!$A:$A,0)</f>
        <v>23</v>
      </c>
      <c r="AS198" s="21">
        <f ca="1">OFFSET(Tab.Measure.f.Default!$A$1,AR198-1,MATCH(AS$87&amp;"_"&amp;$J198,Tab.Measure.f.Default!$1:$1,0)-1)</f>
        <v>0.75</v>
      </c>
      <c r="AT198" s="29" t="str">
        <f t="shared" si="170"/>
        <v>MUH.NA.05</v>
      </c>
      <c r="AU198" s="17">
        <f>MATCH(AU$88&amp;"."&amp;AT198,Tab.Measure.f.Default!$A:$A,0)</f>
        <v>40</v>
      </c>
      <c r="AV198" s="21">
        <f ca="1">OFFSET(Tab.Measure.f.Default!$A$1,AU198-1,MATCH(AV$87&amp;"_"&amp;$J198,Tab.Measure.f.Default!$1:$1,0)-1)</f>
        <v>0.37</v>
      </c>
      <c r="AW198" s="30">
        <f t="shared" si="114"/>
        <v>0.8</v>
      </c>
      <c r="AX198" s="9">
        <f t="shared" ca="1" si="171"/>
        <v>0.83333333333333337</v>
      </c>
      <c r="AY198" s="9">
        <f t="shared" ca="1" si="172"/>
        <v>8</v>
      </c>
      <c r="AZ198" s="9">
        <f t="shared" ca="1" si="153"/>
        <v>8.8333333333333339</v>
      </c>
      <c r="BA198" s="9">
        <f t="shared" ca="1" si="154"/>
        <v>0.11320754716981131</v>
      </c>
      <c r="BB198" s="9">
        <f t="shared" ca="1" si="173"/>
        <v>0.33056603773584897</v>
      </c>
      <c r="BC198" s="32" t="str">
        <f t="shared" si="174"/>
        <v>D</v>
      </c>
      <c r="BD198" s="20" t="str">
        <f ca="1">OFFSET(Tab.Uncertainty.Levels!$A$1,MATCH(BD$88,Tab.Uncertainty.Levels!$A:$A,0)-1,MATCH(BD$87&amp;"_"&amp;BC198,Tab.Uncertainty.Levels!$1:$1,0)-1)</f>
        <v>Use of default values; building constructed until 1983</v>
      </c>
      <c r="BE198" s="24">
        <f ca="1">OFFSET(Tab.Uncertainty.Levels!$A$1,MATCH(BE$88,Tab.Uncertainty.Levels!$A:$A,0)-1,MATCH(BE$87&amp;"_"&amp;BC198,Tab.Uncertainty.Levels!$1:$1,0)-1)</f>
        <v>0.3</v>
      </c>
      <c r="BF198" s="32" t="str">
        <f t="shared" si="175"/>
        <v>-</v>
      </c>
      <c r="BG198" s="20" t="e">
        <f ca="1">OFFSET(Tab.Uncertainty.Levels!$A$1,MATCH(BG$88,Tab.Uncertainty.Levels!$A:$A,0)-1,MATCH(BG$87&amp;"_"&amp;BF198,Tab.Uncertainty.Levels!$1:$1,0)-1)</f>
        <v>#N/A</v>
      </c>
      <c r="BH198" s="24" t="e">
        <f ca="1">OFFSET(Tab.Uncertainty.Levels!$A$1,MATCH(BH$88,Tab.Uncertainty.Levels!$A:$A,0)-1,MATCH(BH$87&amp;"_"&amp;BF198,Tab.Uncertainty.Levels!$1:$1,0)-1)</f>
        <v>#N/A</v>
      </c>
      <c r="BI198" s="32" t="str">
        <f t="shared" si="137"/>
        <v>D</v>
      </c>
      <c r="BJ198" s="13">
        <f ca="1">IF(BF198="-",BE198,BH198)</f>
        <v>0.3</v>
      </c>
      <c r="BK198" s="32" t="str">
        <f>IF(OR($L198="NoDataSource",IFERROR(IF($S198="",#N/A,$S198),0)=0),IF(IFERROR(IF(U198="",#N/A,U198),0)=0,"E","D"),IF($L198="DesignDataPlusQA","A",IF($L198="DesignData","B","C")))</f>
        <v>C</v>
      </c>
      <c r="BL198" s="20" t="str">
        <f ca="1">OFFSET(Tab.Uncertainty.Levels!$A$1,MATCH(BL$88,Tab.Uncertainty.Levels!$A:$A,0)-1,MATCH(BL$87&amp;"_"&amp;BK198,Tab.Uncertainty.Levels!$1:$1,0)-1)</f>
        <v>Insulation thickness determined by inspection onsite / record or statement of owner</v>
      </c>
      <c r="BM198" s="24">
        <f ca="1">OFFSET(Tab.Uncertainty.Levels!$A$1,MATCH(BM$88,Tab.Uncertainty.Levels!$A:$A,0)-1,MATCH(BM$87&amp;"_"&amp;BK198,Tab.Uncertainty.Levels!$1:$1,0)-1)</f>
        <v>0.25</v>
      </c>
      <c r="BN198" s="34">
        <f ca="1">OFFSET(Tab.Uncertainty.Levels!$A$1,MATCH(BN$88,Tab.Uncertainty.Levels!$A:$A,0)-1,MATCH(BN$87&amp;"_"&amp;BK198,Tab.Uncertainty.Levels!$1:$1,0)-1)</f>
        <v>2</v>
      </c>
      <c r="BO198" s="13">
        <f ca="1">IFERROR(MIN(BM198,BN198/AN198),0)</f>
        <v>7.1428571428571425E-2</v>
      </c>
      <c r="BP198" s="32" t="str">
        <f>IF(OR($L198="NoDataSource",IFERROR(IF($V198="",#N/A,$V198),0)=0),IF(IFERROR(IF(U198="",#N/A,U198),0)=0,"E","D"),IF($L198="DesignDataPlusQA","A",IF($L198="DesignData","B","C")))</f>
        <v>D</v>
      </c>
      <c r="BQ198" s="20" t="str">
        <f ca="1">OFFSET(Tab.Uncertainty.Levels!$A$1,MATCH(BQ$88,Tab.Uncertainty.Levels!$A:$A,0)-1,MATCH(BQ$87&amp;"_"&amp;BP198,Tab.Uncertainty.Levels!$1:$1,0)-1)</f>
        <v>Insulation available; no information about material</v>
      </c>
      <c r="BR198" s="97">
        <f ca="1">OFFSET(Tab.Uncertainty.Levels!$A$1,MATCH(BR$88,Tab.Uncertainty.Levels!$A:$A,0)-1,MATCH(BR$87&amp;"_"&amp;BP198,Tab.Uncertainty.Levels!$1:$1,0)-1)</f>
        <v>0.2</v>
      </c>
      <c r="BS198" s="32" t="str">
        <f>IF(L198="NoDataSource","D",IF(IFERROR(IF($T198="",#N/A,$T198),0)=0,IF(OR(IFERROR(IF($S198="",#N/A,$S198),0)&gt;0,$R198="Refurbish"),"D","E"),IF($L198="DesignDataPlusQA","A",IF($L198="DesignData","B","C"))))</f>
        <v>C</v>
      </c>
      <c r="BT198" s="20" t="str">
        <f ca="1">OFFSET(Tab.Uncertainty.Levels!$A$1,MATCH(BT$88,Tab.Uncertainty.Levels!$A:$A,0)-1,MATCH(BT$87&amp;"_"&amp;BS198,Tab.Uncertainty.Levels!$1:$1,0)-1)</f>
        <v>Insulation fraction determined by inspection onsite / record or statement of owner</v>
      </c>
      <c r="BU198" s="33">
        <f ca="1">OFFSET(Tab.Uncertainty.Levels!$A$1,MATCH(BU$88,Tab.Uncertainty.Levels!$A:$A,0)-1,MATCH(BU$87&amp;"_"&amp;BS198,Tab.Uncertainty.Levels!$1:$1,0)-1)</f>
        <v>0.2</v>
      </c>
      <c r="BV198" s="13">
        <f ca="1">IFERROR(MIN(BU198/AW198,1,(1-AW198)/AW198),0)</f>
        <v>0.24999999999999994</v>
      </c>
      <c r="BW198" s="96">
        <f ca="1">ABS(1+(AW198*(1/(1+AN198/100/AP198*AG198)^2-1)))*BJ198*$AG198</f>
        <v>7.4563189747240979E-2</v>
      </c>
      <c r="BX198" s="96">
        <f ca="1">ABS(-AG198+1/(1/AG198+AN198/100/AP198))*BV198*AW198</f>
        <v>0.2173584905660377</v>
      </c>
      <c r="BY198" s="96">
        <f ca="1">ABS(-AW198*AP198/((AP198/AG198+AN198/100)^2))*(BO198*AN198/100)</f>
        <v>5.8587194222651674E-3</v>
      </c>
      <c r="BZ198" s="202">
        <f ca="1">ABS(AW198*AN198/100/(1/AG198*AP198+AN198/100)^2)*(BR198*AP198)</f>
        <v>1.6404414382342469E-2</v>
      </c>
      <c r="CA198" s="103">
        <f t="shared" ca="1" si="117"/>
        <v>0.23045132260615428</v>
      </c>
      <c r="CB198" s="37">
        <f t="shared" ca="1" si="176"/>
        <v>0.22556216076505553</v>
      </c>
      <c r="CC198" s="37">
        <f t="shared" ca="1" si="177"/>
        <v>0.65753424657534254</v>
      </c>
      <c r="CD198" s="37">
        <f t="shared" ca="1" si="178"/>
        <v>1.7723295055939153E-2</v>
      </c>
      <c r="CE198" s="37">
        <f t="shared" ca="1" si="179"/>
        <v>4.9625226156629627E-2</v>
      </c>
      <c r="CF198" s="13">
        <f t="shared" ca="1" si="180"/>
        <v>0.69714155811222489</v>
      </c>
      <c r="CG198" s="101">
        <f ca="1">AG198</f>
        <v>1.2</v>
      </c>
      <c r="CH198" s="101">
        <f>AW198</f>
        <v>0.8</v>
      </c>
      <c r="CI198" s="203">
        <f>IF(CH198&gt;0,AN198,0)</f>
        <v>28</v>
      </c>
      <c r="CJ198" s="102">
        <f ca="1">IF(AND(CH198&gt;0,CI198&gt;0),AP198,0)</f>
        <v>3.5000000000000003E-2</v>
      </c>
      <c r="CK198" s="102">
        <f ca="1">BB198</f>
        <v>0.33056603773584897</v>
      </c>
      <c r="CL198" s="37">
        <f t="shared" ca="1" si="156"/>
        <v>0.3</v>
      </c>
      <c r="CM198" s="37">
        <f t="shared" ca="1" si="157"/>
        <v>0.24999999999999994</v>
      </c>
      <c r="CN198" s="37">
        <f t="shared" ca="1" si="158"/>
        <v>7.1428571428571425E-2</v>
      </c>
      <c r="CO198" s="37">
        <f t="shared" ca="1" si="159"/>
        <v>0.2</v>
      </c>
      <c r="CP198" s="37">
        <f t="shared" ca="1" si="160"/>
        <v>0.69714155811222489</v>
      </c>
      <c r="CQ198" s="95">
        <f t="shared" ca="1" si="161"/>
        <v>0.36</v>
      </c>
      <c r="CR198" s="95">
        <f t="shared" ca="1" si="162"/>
        <v>0.19999999999999996</v>
      </c>
      <c r="CS198" s="95">
        <f t="shared" ca="1" si="163"/>
        <v>2</v>
      </c>
      <c r="CT198" s="103">
        <f t="shared" ca="1" si="164"/>
        <v>7.000000000000001E-3</v>
      </c>
      <c r="CU198" s="95">
        <f t="shared" ca="1" si="165"/>
        <v>0.23045132260615428</v>
      </c>
      <c r="CV198" s="37">
        <f ca="1">$CB198^2/$CF198^2</f>
        <v>0.10468646789222574</v>
      </c>
      <c r="CW198" s="37">
        <f ca="1">$CD198^2/$CF198^2</f>
        <v>6.4631909915738989E-4</v>
      </c>
      <c r="CX198" s="37">
        <f ca="1">$CE198^2/$CF198^2</f>
        <v>5.0671417373939357E-3</v>
      </c>
      <c r="CY198" s="37">
        <f ca="1">$CC198^2/$CF198^2</f>
        <v>0.88960007127122287</v>
      </c>
      <c r="DA198" s="98" t="s">
        <v>214</v>
      </c>
      <c r="DB198" s="36">
        <f ca="1">OFFSET($A$1,ROW(DB198)-1,MATCH(DA198,$1:$1,0)-1)</f>
        <v>28</v>
      </c>
      <c r="DC198" s="9">
        <f ca="1">BB198</f>
        <v>0.33056603773584897</v>
      </c>
      <c r="DD198" s="9">
        <f ca="1">$DC198+$CA198</f>
        <v>0.56101736034200322</v>
      </c>
      <c r="DE198" s="9">
        <f ca="1">$DC198-$CA198</f>
        <v>0.10011471512969469</v>
      </c>
      <c r="DF198" s="10">
        <f t="shared" ca="1" si="87"/>
        <v>0.69714155811222478</v>
      </c>
    </row>
    <row r="199" spans="1:110" s="8" customFormat="1" ht="32.4" customHeight="1">
      <c r="A199" s="206" t="s">
        <v>635</v>
      </c>
      <c r="B199" s="209" t="s">
        <v>2345</v>
      </c>
      <c r="C199" s="206" t="str">
        <f t="shared" si="151"/>
        <v>Parameter-Variation: d_Insulation = 32 cm</v>
      </c>
      <c r="D199" s="206"/>
      <c r="E199" s="206" t="s">
        <v>198</v>
      </c>
      <c r="F199" s="206" t="str">
        <f t="shared" si="166"/>
        <v>32 cm</v>
      </c>
      <c r="G199" s="206" t="s">
        <v>2170</v>
      </c>
      <c r="H199" s="206" t="s">
        <v>2171</v>
      </c>
      <c r="I199" s="156" t="s">
        <v>80</v>
      </c>
      <c r="J199" s="156" t="s">
        <v>134</v>
      </c>
      <c r="K199" s="156" t="s">
        <v>155</v>
      </c>
      <c r="L199" s="156" t="s">
        <v>66</v>
      </c>
      <c r="M199" s="156" t="s">
        <v>188</v>
      </c>
      <c r="N199" s="7">
        <v>1960</v>
      </c>
      <c r="O199" s="156">
        <v>1</v>
      </c>
      <c r="P199" s="156">
        <v>0</v>
      </c>
      <c r="Q199" s="156" t="s">
        <v>435</v>
      </c>
      <c r="R199" s="156" t="s">
        <v>58</v>
      </c>
      <c r="S199" s="19">
        <f t="shared" si="167"/>
        <v>32</v>
      </c>
      <c r="T199" s="19">
        <v>0.8</v>
      </c>
      <c r="U199" s="19">
        <v>2016</v>
      </c>
      <c r="V199" s="19" t="e">
        <v>#N/A</v>
      </c>
      <c r="W199" s="28" t="s">
        <v>59</v>
      </c>
      <c r="X199" s="19" t="e">
        <v>#N/A</v>
      </c>
      <c r="Y199" s="105">
        <f ca="1">IFERROR(OFFSET(Tab.Const.ConstrBorder!$A$1,MATCH(Q199,Tab.Const.ConstrBorder!$A:$A,0)-1,MATCH(Y$87,Tab.Const.ConstrBorder!$1:$1,0)-1),0)</f>
        <v>0</v>
      </c>
      <c r="Z199" s="18">
        <f t="shared" si="110"/>
        <v>1960</v>
      </c>
      <c r="AA199" s="17">
        <f>MATCH(Z199,Tab.Year.Period!$11:$11,1)-3</f>
        <v>5</v>
      </c>
      <c r="AB199" s="17">
        <f>MATCH(AB$88&amp;"."&amp;TEXT(AA199,"00"),Tab.U.Default!$A:$A,0)</f>
        <v>28</v>
      </c>
      <c r="AC199" s="105">
        <f ca="1">OFFSET(Tab.U.Default!$A$1,$AB199-1,MATCH("U_Class_"&amp;IF($J199="TopCeiling","UpperCeiling",$J199)&amp;"_"&amp;AC$87,Tab.U.Default!$1:$1,0)-1)</f>
        <v>1.2</v>
      </c>
      <c r="AD199" s="105">
        <f ca="1">OFFSET(Tab.U.Default!$A$1,$AB199-1,MATCH("U_Class_"&amp;IF($J199="TopCeiling","UpperCeiling",$J199)&amp;"_"&amp;AD$87,Tab.U.Default!$1:$1,0)-1)</f>
        <v>1.2</v>
      </c>
      <c r="AE199" s="105">
        <f ca="1">OFFSET(Tab.U.Default!$A$1,$AB199-1,MATCH("U_Class_"&amp;IF($J199="TopCeiling","UpperCeiling",$J199)&amp;"_"&amp;AE$87,Tab.U.Default!$1:$1,0)-1)</f>
        <v>0.8</v>
      </c>
      <c r="AF199" s="26">
        <f t="shared" ca="1" si="96"/>
        <v>1.2</v>
      </c>
      <c r="AG199" s="26">
        <f t="shared" ca="1" si="155"/>
        <v>1.2</v>
      </c>
      <c r="AH199" s="18" t="str">
        <f t="shared" si="168"/>
        <v>Refurbish</v>
      </c>
      <c r="AI199" s="18" t="str">
        <f t="shared" si="111"/>
        <v>Add</v>
      </c>
      <c r="AJ199" s="18">
        <f t="shared" si="98"/>
        <v>2016</v>
      </c>
      <c r="AK199" s="17">
        <f>MATCH(AJ199,Tab.Year.Period!$11:$11,1)-3</f>
        <v>12</v>
      </c>
      <c r="AL199" s="17">
        <f>MATCH(AL$88&amp;"."&amp;TEXT(AK199,"00"),Tab.Insulation.Default!$A:$A,0)</f>
        <v>23</v>
      </c>
      <c r="AM199" s="20" t="e">
        <f ca="1">IF(ISNA(IF(S199="",#N/A,S199)),OFFSET(Tab.Insulation.Default!$A$1,$AL199-1,MATCH(AM$87&amp;"_"&amp;$K199,Tab.Insulation.Default!$1:$1,0)-1),#N/A)</f>
        <v>#N/A</v>
      </c>
      <c r="AN199" s="27">
        <f t="shared" si="112"/>
        <v>32</v>
      </c>
      <c r="AO199" s="22">
        <f ca="1">IF(ISNA(IF(V199="",#N/A,V199)),OFFSET(Tab.Insulation.Default!$A$1,$AL199-1,MATCH(AO$87&amp;"_"&amp;$K199,Tab.Insulation.Default!$1:$1,0)-1),#N/A)</f>
        <v>3.5000000000000003E-2</v>
      </c>
      <c r="AP199" s="23">
        <f t="shared" ca="1" si="113"/>
        <v>3.5000000000000003E-2</v>
      </c>
      <c r="AQ199" s="29" t="str">
        <f t="shared" si="169"/>
        <v>Gen.Refurbished.12</v>
      </c>
      <c r="AR199" s="17">
        <f>MATCH(AR$88&amp;"."&amp;AQ199,Tab.Measure.f.Default!$A:$A,0)</f>
        <v>23</v>
      </c>
      <c r="AS199" s="21">
        <f ca="1">OFFSET(Tab.Measure.f.Default!$A$1,AR199-1,MATCH(AS$87&amp;"_"&amp;$J199,Tab.Measure.f.Default!$1:$1,0)-1)</f>
        <v>0.75</v>
      </c>
      <c r="AT199" s="29" t="str">
        <f t="shared" si="170"/>
        <v>MUH.NA.05</v>
      </c>
      <c r="AU199" s="17">
        <f>MATCH(AU$88&amp;"."&amp;AT199,Tab.Measure.f.Default!$A:$A,0)</f>
        <v>40</v>
      </c>
      <c r="AV199" s="21">
        <f ca="1">OFFSET(Tab.Measure.f.Default!$A$1,AU199-1,MATCH(AV$87&amp;"_"&amp;$J199,Tab.Measure.f.Default!$1:$1,0)-1)</f>
        <v>0.37</v>
      </c>
      <c r="AW199" s="30">
        <f t="shared" si="114"/>
        <v>0.8</v>
      </c>
      <c r="AX199" s="9">
        <f t="shared" ca="1" si="171"/>
        <v>0.83333333333333337</v>
      </c>
      <c r="AY199" s="9">
        <f t="shared" ca="1" si="172"/>
        <v>9.1428571428571423</v>
      </c>
      <c r="AZ199" s="9">
        <f t="shared" ca="1" si="153"/>
        <v>9.9761904761904763</v>
      </c>
      <c r="BA199" s="9">
        <f t="shared" ca="1" si="154"/>
        <v>0.10023866348448687</v>
      </c>
      <c r="BB199" s="9">
        <f t="shared" ca="1" si="173"/>
        <v>0.32019093078758942</v>
      </c>
      <c r="BC199" s="32" t="str">
        <f t="shared" si="174"/>
        <v>D</v>
      </c>
      <c r="BD199" s="20" t="str">
        <f ca="1">OFFSET(Tab.Uncertainty.Levels!$A$1,MATCH(BD$88,Tab.Uncertainty.Levels!$A:$A,0)-1,MATCH(BD$87&amp;"_"&amp;BC199,Tab.Uncertainty.Levels!$1:$1,0)-1)</f>
        <v>Use of default values; building constructed until 1983</v>
      </c>
      <c r="BE199" s="24">
        <f ca="1">OFFSET(Tab.Uncertainty.Levels!$A$1,MATCH(BE$88,Tab.Uncertainty.Levels!$A:$A,0)-1,MATCH(BE$87&amp;"_"&amp;BC199,Tab.Uncertainty.Levels!$1:$1,0)-1)</f>
        <v>0.3</v>
      </c>
      <c r="BF199" s="32" t="str">
        <f t="shared" si="175"/>
        <v>-</v>
      </c>
      <c r="BG199" s="20" t="e">
        <f ca="1">OFFSET(Tab.Uncertainty.Levels!$A$1,MATCH(BG$88,Tab.Uncertainty.Levels!$A:$A,0)-1,MATCH(BG$87&amp;"_"&amp;BF199,Tab.Uncertainty.Levels!$1:$1,0)-1)</f>
        <v>#N/A</v>
      </c>
      <c r="BH199" s="24" t="e">
        <f ca="1">OFFSET(Tab.Uncertainty.Levels!$A$1,MATCH(BH$88,Tab.Uncertainty.Levels!$A:$A,0)-1,MATCH(BH$87&amp;"_"&amp;BF199,Tab.Uncertainty.Levels!$1:$1,0)-1)</f>
        <v>#N/A</v>
      </c>
      <c r="BI199" s="32" t="str">
        <f t="shared" si="137"/>
        <v>D</v>
      </c>
      <c r="BJ199" s="13">
        <f ca="1">IF(BF199="-",BE199,BH199)</f>
        <v>0.3</v>
      </c>
      <c r="BK199" s="32" t="str">
        <f>IF(OR($L199="NoDataSource",IFERROR(IF($S199="",#N/A,$S199),0)=0),IF(IFERROR(IF(U199="",#N/A,U199),0)=0,"E","D"),IF($L199="DesignDataPlusQA","A",IF($L199="DesignData","B","C")))</f>
        <v>C</v>
      </c>
      <c r="BL199" s="20" t="str">
        <f ca="1">OFFSET(Tab.Uncertainty.Levels!$A$1,MATCH(BL$88,Tab.Uncertainty.Levels!$A:$A,0)-1,MATCH(BL$87&amp;"_"&amp;BK199,Tab.Uncertainty.Levels!$1:$1,0)-1)</f>
        <v>Insulation thickness determined by inspection onsite / record or statement of owner</v>
      </c>
      <c r="BM199" s="24">
        <f ca="1">OFFSET(Tab.Uncertainty.Levels!$A$1,MATCH(BM$88,Tab.Uncertainty.Levels!$A:$A,0)-1,MATCH(BM$87&amp;"_"&amp;BK199,Tab.Uncertainty.Levels!$1:$1,0)-1)</f>
        <v>0.25</v>
      </c>
      <c r="BN199" s="34">
        <f ca="1">OFFSET(Tab.Uncertainty.Levels!$A$1,MATCH(BN$88,Tab.Uncertainty.Levels!$A:$A,0)-1,MATCH(BN$87&amp;"_"&amp;BK199,Tab.Uncertainty.Levels!$1:$1,0)-1)</f>
        <v>2</v>
      </c>
      <c r="BO199" s="13">
        <f ca="1">IFERROR(MIN(BM199,BN199/AN199),0)</f>
        <v>6.25E-2</v>
      </c>
      <c r="BP199" s="32" t="str">
        <f>IF(OR($L199="NoDataSource",IFERROR(IF($V199="",#N/A,$V199),0)=0),IF(IFERROR(IF(U199="",#N/A,U199),0)=0,"E","D"),IF($L199="DesignDataPlusQA","A",IF($L199="DesignData","B","C")))</f>
        <v>D</v>
      </c>
      <c r="BQ199" s="20" t="str">
        <f ca="1">OFFSET(Tab.Uncertainty.Levels!$A$1,MATCH(BQ$88,Tab.Uncertainty.Levels!$A:$A,0)-1,MATCH(BQ$87&amp;"_"&amp;BP199,Tab.Uncertainty.Levels!$1:$1,0)-1)</f>
        <v>Insulation available; no information about material</v>
      </c>
      <c r="BR199" s="97">
        <f ca="1">OFFSET(Tab.Uncertainty.Levels!$A$1,MATCH(BR$88,Tab.Uncertainty.Levels!$A:$A,0)-1,MATCH(BR$87&amp;"_"&amp;BP199,Tab.Uncertainty.Levels!$1:$1,0)-1)</f>
        <v>0.2</v>
      </c>
      <c r="BS199" s="32" t="str">
        <f>IF(L199="NoDataSource","D",IF(IFERROR(IF($T199="",#N/A,$T199),0)=0,IF(OR(IFERROR(IF($S199="",#N/A,$S199),0)&gt;0,$R199="Refurbish"),"D","E"),IF($L199="DesignDataPlusQA","A",IF($L199="DesignData","B","C"))))</f>
        <v>C</v>
      </c>
      <c r="BT199" s="20" t="str">
        <f ca="1">OFFSET(Tab.Uncertainty.Levels!$A$1,MATCH(BT$88,Tab.Uncertainty.Levels!$A:$A,0)-1,MATCH(BT$87&amp;"_"&amp;BS199,Tab.Uncertainty.Levels!$1:$1,0)-1)</f>
        <v>Insulation fraction determined by inspection onsite / record or statement of owner</v>
      </c>
      <c r="BU199" s="33">
        <f ca="1">OFFSET(Tab.Uncertainty.Levels!$A$1,MATCH(BU$88,Tab.Uncertainty.Levels!$A:$A,0)-1,MATCH(BU$87&amp;"_"&amp;BS199,Tab.Uncertainty.Levels!$1:$1,0)-1)</f>
        <v>0.2</v>
      </c>
      <c r="BV199" s="13">
        <f ca="1">IFERROR(MIN(BU199/AW199,1,(1-AW199)/AW199),0)</f>
        <v>0.24999999999999994</v>
      </c>
      <c r="BW199" s="96">
        <f ca="1">ABS(1+(AW199*(1/(1+AN199/100/AP199*AG199)^2-1)))*BJ199*$AG199</f>
        <v>7.40095579314312E-2</v>
      </c>
      <c r="BX199" s="96">
        <f ca="1">ABS(-AG199+1/(1/AG199+AN199/100/AP199))*BV199*AW199</f>
        <v>0.21995226730310258</v>
      </c>
      <c r="BY199" s="96">
        <f ca="1">ABS(-AW199*AP199/((AP199/AG199+AN199/100)^2))*(BO199*AN199/100)</f>
        <v>4.5932752718428355E-3</v>
      </c>
      <c r="BZ199" s="202">
        <f ca="1">ABS(AW199*AN199/100/(1/AG199*AP199+AN199/100)^2)*(BR199*AP199)</f>
        <v>1.4698480869897073E-2</v>
      </c>
      <c r="CA199" s="103">
        <f t="shared" ca="1" si="117"/>
        <v>0.23258021857971287</v>
      </c>
      <c r="CB199" s="37">
        <f t="shared" ca="1" si="176"/>
        <v>0.23114195567434168</v>
      </c>
      <c r="CC199" s="37">
        <f t="shared" ca="1" si="177"/>
        <v>0.68694096601073351</v>
      </c>
      <c r="CD199" s="37">
        <f t="shared" ca="1" si="178"/>
        <v>1.4345425901178805E-2</v>
      </c>
      <c r="CE199" s="37">
        <f t="shared" ca="1" si="179"/>
        <v>4.5905362883772172E-2</v>
      </c>
      <c r="CF199" s="13">
        <f t="shared" ca="1" si="180"/>
        <v>0.72637978223687927</v>
      </c>
      <c r="CG199" s="101">
        <f ca="1">AG199</f>
        <v>1.2</v>
      </c>
      <c r="CH199" s="101">
        <f>AW199</f>
        <v>0.8</v>
      </c>
      <c r="CI199" s="203">
        <f>IF(CH199&gt;0,AN199,0)</f>
        <v>32</v>
      </c>
      <c r="CJ199" s="102">
        <f ca="1">IF(AND(CH199&gt;0,CI199&gt;0),AP199,0)</f>
        <v>3.5000000000000003E-2</v>
      </c>
      <c r="CK199" s="102">
        <f ca="1">BB199</f>
        <v>0.32019093078758942</v>
      </c>
      <c r="CL199" s="37">
        <f t="shared" ca="1" si="156"/>
        <v>0.3</v>
      </c>
      <c r="CM199" s="37">
        <f t="shared" ca="1" si="157"/>
        <v>0.24999999999999994</v>
      </c>
      <c r="CN199" s="37">
        <f t="shared" ca="1" si="158"/>
        <v>6.25E-2</v>
      </c>
      <c r="CO199" s="37">
        <f t="shared" ca="1" si="159"/>
        <v>0.2</v>
      </c>
      <c r="CP199" s="37">
        <f t="shared" ca="1" si="160"/>
        <v>0.72637978223687927</v>
      </c>
      <c r="CQ199" s="95">
        <f t="shared" ca="1" si="161"/>
        <v>0.36</v>
      </c>
      <c r="CR199" s="95">
        <f t="shared" ca="1" si="162"/>
        <v>0.19999999999999996</v>
      </c>
      <c r="CS199" s="95">
        <f t="shared" ca="1" si="163"/>
        <v>2</v>
      </c>
      <c r="CT199" s="103">
        <f t="shared" ca="1" si="164"/>
        <v>7.000000000000001E-3</v>
      </c>
      <c r="CU199" s="95">
        <f t="shared" ca="1" si="165"/>
        <v>0.23258021857971289</v>
      </c>
      <c r="CV199" s="37">
        <f ca="1">$CB199^2/$CF199^2</f>
        <v>0.10125816936747488</v>
      </c>
      <c r="CW199" s="37">
        <f ca="1">$CD199^2/$CF199^2</f>
        <v>3.9003124353239265E-4</v>
      </c>
      <c r="CX199" s="37">
        <f ca="1">$CE199^2/$CF199^2</f>
        <v>3.9939199337716991E-3</v>
      </c>
      <c r="CY199" s="37">
        <f ca="1">$CC199^2/$CF199^2</f>
        <v>0.89435787945522105</v>
      </c>
      <c r="DA199" s="98" t="s">
        <v>214</v>
      </c>
      <c r="DB199" s="36">
        <f ca="1">OFFSET($A$1,ROW(DB199)-1,MATCH(DA199,$1:$1,0)-1)</f>
        <v>32</v>
      </c>
      <c r="DC199" s="9">
        <f ca="1">BB199</f>
        <v>0.32019093078758942</v>
      </c>
      <c r="DD199" s="9">
        <f ca="1">$DC199+$CA199</f>
        <v>0.55277114936730232</v>
      </c>
      <c r="DE199" s="9">
        <f ca="1">$DC199-$CA199</f>
        <v>8.7610712207876557E-2</v>
      </c>
      <c r="DF199" s="10">
        <f t="shared" ca="1" si="87"/>
        <v>0.72637978223687927</v>
      </c>
    </row>
    <row r="200" spans="1:110" s="8" customFormat="1" ht="32.4" customHeight="1">
      <c r="A200" s="206" t="s">
        <v>636</v>
      </c>
      <c r="B200" s="209" t="s">
        <v>2345</v>
      </c>
      <c r="C200" s="206" t="str">
        <f t="shared" si="151"/>
        <v>Parameter-Variation: d_Insulation = 36 cm</v>
      </c>
      <c r="D200" s="206"/>
      <c r="E200" s="206" t="s">
        <v>198</v>
      </c>
      <c r="F200" s="206" t="str">
        <f t="shared" si="166"/>
        <v>36 cm</v>
      </c>
      <c r="G200" s="206" t="s">
        <v>2170</v>
      </c>
      <c r="H200" s="206" t="s">
        <v>2171</v>
      </c>
      <c r="I200" s="156" t="s">
        <v>80</v>
      </c>
      <c r="J200" s="156" t="s">
        <v>134</v>
      </c>
      <c r="K200" s="156" t="s">
        <v>155</v>
      </c>
      <c r="L200" s="156" t="s">
        <v>66</v>
      </c>
      <c r="M200" s="156" t="s">
        <v>188</v>
      </c>
      <c r="N200" s="7">
        <v>1960</v>
      </c>
      <c r="O200" s="156">
        <v>1</v>
      </c>
      <c r="P200" s="156">
        <v>0</v>
      </c>
      <c r="Q200" s="156" t="s">
        <v>435</v>
      </c>
      <c r="R200" s="156" t="s">
        <v>58</v>
      </c>
      <c r="S200" s="19">
        <f t="shared" si="167"/>
        <v>36</v>
      </c>
      <c r="T200" s="19">
        <v>0.8</v>
      </c>
      <c r="U200" s="19">
        <v>2016</v>
      </c>
      <c r="V200" s="19" t="e">
        <v>#N/A</v>
      </c>
      <c r="W200" s="28" t="s">
        <v>59</v>
      </c>
      <c r="X200" s="19" t="e">
        <v>#N/A</v>
      </c>
      <c r="Y200" s="105">
        <f ca="1">IFERROR(OFFSET(Tab.Const.ConstrBorder!$A$1,MATCH(Q200,Tab.Const.ConstrBorder!$A:$A,0)-1,MATCH(Y$87,Tab.Const.ConstrBorder!$1:$1,0)-1),0)</f>
        <v>0</v>
      </c>
      <c r="Z200" s="18">
        <f t="shared" si="110"/>
        <v>1960</v>
      </c>
      <c r="AA200" s="17">
        <f>MATCH(Z200,Tab.Year.Period!$11:$11,1)-3</f>
        <v>5</v>
      </c>
      <c r="AB200" s="17">
        <f>MATCH(AB$88&amp;"."&amp;TEXT(AA200,"00"),Tab.U.Default!$A:$A,0)</f>
        <v>28</v>
      </c>
      <c r="AC200" s="105">
        <f ca="1">OFFSET(Tab.U.Default!$A$1,$AB200-1,MATCH("U_Class_"&amp;IF($J200="TopCeiling","UpperCeiling",$J200)&amp;"_"&amp;AC$87,Tab.U.Default!$1:$1,0)-1)</f>
        <v>1.2</v>
      </c>
      <c r="AD200" s="105">
        <f ca="1">OFFSET(Tab.U.Default!$A$1,$AB200-1,MATCH("U_Class_"&amp;IF($J200="TopCeiling","UpperCeiling",$J200)&amp;"_"&amp;AD$87,Tab.U.Default!$1:$1,0)-1)</f>
        <v>1.2</v>
      </c>
      <c r="AE200" s="105">
        <f ca="1">OFFSET(Tab.U.Default!$A$1,$AB200-1,MATCH("U_Class_"&amp;IF($J200="TopCeiling","UpperCeiling",$J200)&amp;"_"&amp;AE$87,Tab.U.Default!$1:$1,0)-1)</f>
        <v>0.8</v>
      </c>
      <c r="AF200" s="26">
        <f t="shared" ca="1" si="96"/>
        <v>1.2</v>
      </c>
      <c r="AG200" s="26">
        <f t="shared" ca="1" si="155"/>
        <v>1.2</v>
      </c>
      <c r="AH200" s="18" t="str">
        <f t="shared" si="168"/>
        <v>Refurbish</v>
      </c>
      <c r="AI200" s="18" t="str">
        <f t="shared" si="111"/>
        <v>Add</v>
      </c>
      <c r="AJ200" s="18">
        <f t="shared" si="98"/>
        <v>2016</v>
      </c>
      <c r="AK200" s="17">
        <f>MATCH(AJ200,Tab.Year.Period!$11:$11,1)-3</f>
        <v>12</v>
      </c>
      <c r="AL200" s="17">
        <f>MATCH(AL$88&amp;"."&amp;TEXT(AK200,"00"),Tab.Insulation.Default!$A:$A,0)</f>
        <v>23</v>
      </c>
      <c r="AM200" s="20" t="e">
        <f ca="1">IF(ISNA(IF(S200="",#N/A,S200)),OFFSET(Tab.Insulation.Default!$A$1,$AL200-1,MATCH(AM$87&amp;"_"&amp;$K200,Tab.Insulation.Default!$1:$1,0)-1),#N/A)</f>
        <v>#N/A</v>
      </c>
      <c r="AN200" s="27">
        <f t="shared" si="112"/>
        <v>36</v>
      </c>
      <c r="AO200" s="22">
        <f ca="1">IF(ISNA(IF(V200="",#N/A,V200)),OFFSET(Tab.Insulation.Default!$A$1,$AL200-1,MATCH(AO$87&amp;"_"&amp;$K200,Tab.Insulation.Default!$1:$1,0)-1),#N/A)</f>
        <v>3.5000000000000003E-2</v>
      </c>
      <c r="AP200" s="23">
        <f t="shared" ca="1" si="113"/>
        <v>3.5000000000000003E-2</v>
      </c>
      <c r="AQ200" s="29" t="str">
        <f t="shared" si="169"/>
        <v>Gen.Refurbished.12</v>
      </c>
      <c r="AR200" s="17">
        <f>MATCH(AR$88&amp;"."&amp;AQ200,Tab.Measure.f.Default!$A:$A,0)</f>
        <v>23</v>
      </c>
      <c r="AS200" s="21">
        <f ca="1">OFFSET(Tab.Measure.f.Default!$A$1,AR200-1,MATCH(AS$87&amp;"_"&amp;$J200,Tab.Measure.f.Default!$1:$1,0)-1)</f>
        <v>0.75</v>
      </c>
      <c r="AT200" s="29" t="str">
        <f t="shared" si="170"/>
        <v>MUH.NA.05</v>
      </c>
      <c r="AU200" s="17">
        <f>MATCH(AU$88&amp;"."&amp;AT200,Tab.Measure.f.Default!$A:$A,0)</f>
        <v>40</v>
      </c>
      <c r="AV200" s="21">
        <f ca="1">OFFSET(Tab.Measure.f.Default!$A$1,AU200-1,MATCH(AV$87&amp;"_"&amp;$J200,Tab.Measure.f.Default!$1:$1,0)-1)</f>
        <v>0.37</v>
      </c>
      <c r="AW200" s="30">
        <f t="shared" si="114"/>
        <v>0.8</v>
      </c>
      <c r="AX200" s="9">
        <f t="shared" ca="1" si="171"/>
        <v>0.83333333333333337</v>
      </c>
      <c r="AY200" s="9">
        <f t="shared" ca="1" si="172"/>
        <v>10.285714285714285</v>
      </c>
      <c r="AZ200" s="9">
        <f t="shared" ca="1" si="153"/>
        <v>11.119047619047619</v>
      </c>
      <c r="BA200" s="9">
        <f t="shared" ca="1" si="154"/>
        <v>8.9935760171306209E-2</v>
      </c>
      <c r="BB200" s="9">
        <f t="shared" ca="1" si="173"/>
        <v>0.31194860813704489</v>
      </c>
      <c r="BC200" s="32" t="str">
        <f t="shared" si="174"/>
        <v>D</v>
      </c>
      <c r="BD200" s="20" t="str">
        <f ca="1">OFFSET(Tab.Uncertainty.Levels!$A$1,MATCH(BD$88,Tab.Uncertainty.Levels!$A:$A,0)-1,MATCH(BD$87&amp;"_"&amp;BC200,Tab.Uncertainty.Levels!$1:$1,0)-1)</f>
        <v>Use of default values; building constructed until 1983</v>
      </c>
      <c r="BE200" s="24">
        <f ca="1">OFFSET(Tab.Uncertainty.Levels!$A$1,MATCH(BE$88,Tab.Uncertainty.Levels!$A:$A,0)-1,MATCH(BE$87&amp;"_"&amp;BC200,Tab.Uncertainty.Levels!$1:$1,0)-1)</f>
        <v>0.3</v>
      </c>
      <c r="BF200" s="32" t="str">
        <f t="shared" si="175"/>
        <v>-</v>
      </c>
      <c r="BG200" s="20" t="e">
        <f ca="1">OFFSET(Tab.Uncertainty.Levels!$A$1,MATCH(BG$88,Tab.Uncertainty.Levels!$A:$A,0)-1,MATCH(BG$87&amp;"_"&amp;BF200,Tab.Uncertainty.Levels!$1:$1,0)-1)</f>
        <v>#N/A</v>
      </c>
      <c r="BH200" s="24" t="e">
        <f ca="1">OFFSET(Tab.Uncertainty.Levels!$A$1,MATCH(BH$88,Tab.Uncertainty.Levels!$A:$A,0)-1,MATCH(BH$87&amp;"_"&amp;BF200,Tab.Uncertainty.Levels!$1:$1,0)-1)</f>
        <v>#N/A</v>
      </c>
      <c r="BI200" s="32" t="str">
        <f t="shared" si="137"/>
        <v>D</v>
      </c>
      <c r="BJ200" s="13">
        <f ca="1">IF(BF200="-",BE200,BH200)</f>
        <v>0.3</v>
      </c>
      <c r="BK200" s="32" t="str">
        <f>IF(OR($L200="NoDataSource",IFERROR(IF($S200="",#N/A,$S200),0)=0),IF(IFERROR(IF(U200="",#N/A,U200),0)=0,"E","D"),IF($L200="DesignDataPlusQA","A",IF($L200="DesignData","B","C")))</f>
        <v>C</v>
      </c>
      <c r="BL200" s="20" t="str">
        <f ca="1">OFFSET(Tab.Uncertainty.Levels!$A$1,MATCH(BL$88,Tab.Uncertainty.Levels!$A:$A,0)-1,MATCH(BL$87&amp;"_"&amp;BK200,Tab.Uncertainty.Levels!$1:$1,0)-1)</f>
        <v>Insulation thickness determined by inspection onsite / record or statement of owner</v>
      </c>
      <c r="BM200" s="24">
        <f ca="1">OFFSET(Tab.Uncertainty.Levels!$A$1,MATCH(BM$88,Tab.Uncertainty.Levels!$A:$A,0)-1,MATCH(BM$87&amp;"_"&amp;BK200,Tab.Uncertainty.Levels!$1:$1,0)-1)</f>
        <v>0.25</v>
      </c>
      <c r="BN200" s="34">
        <f ca="1">OFFSET(Tab.Uncertainty.Levels!$A$1,MATCH(BN$88,Tab.Uncertainty.Levels!$A:$A,0)-1,MATCH(BN$87&amp;"_"&amp;BK200,Tab.Uncertainty.Levels!$1:$1,0)-1)</f>
        <v>2</v>
      </c>
      <c r="BO200" s="13">
        <f ca="1">IFERROR(MIN(BM200,BN200/AN200),0)</f>
        <v>5.5555555555555552E-2</v>
      </c>
      <c r="BP200" s="32" t="str">
        <f>IF(OR($L200="NoDataSource",IFERROR(IF($V200="",#N/A,$V200),0)=0),IF(IFERROR(IF(U200="",#N/A,U200),0)=0,"E","D"),IF($L200="DesignDataPlusQA","A",IF($L200="DesignData","B","C")))</f>
        <v>D</v>
      </c>
      <c r="BQ200" s="20" t="str">
        <f ca="1">OFFSET(Tab.Uncertainty.Levels!$A$1,MATCH(BQ$88,Tab.Uncertainty.Levels!$A:$A,0)-1,MATCH(BQ$87&amp;"_"&amp;BP200,Tab.Uncertainty.Levels!$1:$1,0)-1)</f>
        <v>Insulation available; no information about material</v>
      </c>
      <c r="BR200" s="97">
        <f ca="1">OFFSET(Tab.Uncertainty.Levels!$A$1,MATCH(BR$88,Tab.Uncertainty.Levels!$A:$A,0)-1,MATCH(BR$87&amp;"_"&amp;BP200,Tab.Uncertainty.Levels!$1:$1,0)-1)</f>
        <v>0.2</v>
      </c>
      <c r="BS200" s="32" t="str">
        <f>IF(L200="NoDataSource","D",IF(IFERROR(IF($T200="",#N/A,$T200),0)=0,IF(OR(IFERROR(IF($S200="",#N/A,$S200),0)&gt;0,$R200="Refurbish"),"D","E"),IF($L200="DesignDataPlusQA","A",IF($L200="DesignData","B","C"))))</f>
        <v>C</v>
      </c>
      <c r="BT200" s="20" t="str">
        <f ca="1">OFFSET(Tab.Uncertainty.Levels!$A$1,MATCH(BT$88,Tab.Uncertainty.Levels!$A:$A,0)-1,MATCH(BT$87&amp;"_"&amp;BS200,Tab.Uncertainty.Levels!$1:$1,0)-1)</f>
        <v>Insulation fraction determined by inspection onsite / record or statement of owner</v>
      </c>
      <c r="BU200" s="33">
        <f ca="1">OFFSET(Tab.Uncertainty.Levels!$A$1,MATCH(BU$88,Tab.Uncertainty.Levels!$A:$A,0)-1,MATCH(BU$87&amp;"_"&amp;BS200,Tab.Uncertainty.Levels!$1:$1,0)-1)</f>
        <v>0.2</v>
      </c>
      <c r="BV200" s="13">
        <f ca="1">IFERROR(MIN(BU200/AW200,1,(1-AW200)/AW200),0)</f>
        <v>0.24999999999999994</v>
      </c>
      <c r="BW200" s="96">
        <f ca="1">ABS(1+(AW200*(1/(1+AN200/100/AP200*AG200)^2-1)))*BJ200*$AG200</f>
        <v>7.3617688191518107E-2</v>
      </c>
      <c r="BX200" s="96">
        <f ca="1">ABS(-AG200+1/(1/AG200+AN200/100/AP200))*BV200*AW200</f>
        <v>0.22201284796573872</v>
      </c>
      <c r="BY200" s="96">
        <f ca="1">ABS(-AW200*AP200/((AP200/AG200+AN200/100)^2))*(BO200*AN200/100)</f>
        <v>3.6975730091843239E-3</v>
      </c>
      <c r="BZ200" s="202">
        <f ca="1">ABS(AW200*AN200/100/(1/AG200*AP200+AN200/100)^2)*(BR200*AP200)</f>
        <v>1.3311262833063569E-2</v>
      </c>
      <c r="CA200" s="103">
        <f t="shared" ca="1" si="117"/>
        <v>0.23430776863111252</v>
      </c>
      <c r="CB200" s="37">
        <f t="shared" ca="1" si="176"/>
        <v>0.23599300099834544</v>
      </c>
      <c r="CC200" s="37">
        <f t="shared" ca="1" si="177"/>
        <v>0.71169686985172986</v>
      </c>
      <c r="CD200" s="37">
        <f t="shared" ca="1" si="178"/>
        <v>1.1853147963269355E-2</v>
      </c>
      <c r="CE200" s="37">
        <f t="shared" ca="1" si="179"/>
        <v>4.2671332667769686E-2</v>
      </c>
      <c r="CF200" s="13">
        <f t="shared" ca="1" si="180"/>
        <v>0.75111015891494759</v>
      </c>
      <c r="CG200" s="101">
        <f ca="1">AG200</f>
        <v>1.2</v>
      </c>
      <c r="CH200" s="101">
        <f>AW200</f>
        <v>0.8</v>
      </c>
      <c r="CI200" s="203">
        <f>IF(CH200&gt;0,AN200,0)</f>
        <v>36</v>
      </c>
      <c r="CJ200" s="102">
        <f ca="1">IF(AND(CH200&gt;0,CI200&gt;0),AP200,0)</f>
        <v>3.5000000000000003E-2</v>
      </c>
      <c r="CK200" s="102">
        <f ca="1">BB200</f>
        <v>0.31194860813704489</v>
      </c>
      <c r="CL200" s="37">
        <f t="shared" ca="1" si="156"/>
        <v>0.3</v>
      </c>
      <c r="CM200" s="37">
        <f t="shared" ca="1" si="157"/>
        <v>0.24999999999999994</v>
      </c>
      <c r="CN200" s="37">
        <f t="shared" ca="1" si="158"/>
        <v>5.5555555555555552E-2</v>
      </c>
      <c r="CO200" s="37">
        <f t="shared" ca="1" si="159"/>
        <v>0.2</v>
      </c>
      <c r="CP200" s="37">
        <f t="shared" ca="1" si="160"/>
        <v>0.75111015891494759</v>
      </c>
      <c r="CQ200" s="95">
        <f t="shared" ca="1" si="161"/>
        <v>0.36</v>
      </c>
      <c r="CR200" s="95">
        <f t="shared" ca="1" si="162"/>
        <v>0.19999999999999996</v>
      </c>
      <c r="CS200" s="95">
        <f t="shared" ca="1" si="163"/>
        <v>2</v>
      </c>
      <c r="CT200" s="103">
        <f t="shared" ca="1" si="164"/>
        <v>7.000000000000001E-3</v>
      </c>
      <c r="CU200" s="95">
        <f t="shared" ca="1" si="165"/>
        <v>0.2343077686311125</v>
      </c>
      <c r="CV200" s="37">
        <f ca="1">$CB200^2/$CF200^2</f>
        <v>9.8716778469199434E-2</v>
      </c>
      <c r="CW200" s="37">
        <f ca="1">$CD200^2/$CF200^2</f>
        <v>2.4903485744844685E-4</v>
      </c>
      <c r="CX200" s="37">
        <f ca="1">$CE200^2/$CF200^2</f>
        <v>3.2274917525318726E-3</v>
      </c>
      <c r="CY200" s="37">
        <f ca="1">$CC200^2/$CF200^2</f>
        <v>0.8978066949208201</v>
      </c>
      <c r="DA200" s="98" t="s">
        <v>214</v>
      </c>
      <c r="DB200" s="36">
        <f ca="1">OFFSET($A$1,ROW(DB200)-1,MATCH(DA200,$1:$1,0)-1)</f>
        <v>36</v>
      </c>
      <c r="DC200" s="9">
        <f ca="1">BB200</f>
        <v>0.31194860813704489</v>
      </c>
      <c r="DD200" s="9">
        <f ca="1">$DC200+$CA200</f>
        <v>0.54625637676815741</v>
      </c>
      <c r="DE200" s="9">
        <f ca="1">$DC200-$CA200</f>
        <v>7.7640839505932369E-2</v>
      </c>
      <c r="DF200" s="10">
        <f t="shared" ca="1" si="87"/>
        <v>0.7511101589149477</v>
      </c>
    </row>
    <row r="201" spans="1:110" s="8" customFormat="1" ht="32.4" customHeight="1">
      <c r="A201" s="206" t="s">
        <v>637</v>
      </c>
      <c r="B201" s="209" t="s">
        <v>2345</v>
      </c>
      <c r="C201" s="206" t="str">
        <f t="shared" si="151"/>
        <v>Parameter-Variation: d_Insulation = 40 cm</v>
      </c>
      <c r="D201" s="206"/>
      <c r="E201" s="206" t="s">
        <v>198</v>
      </c>
      <c r="F201" s="206" t="str">
        <f t="shared" si="166"/>
        <v>40 cm</v>
      </c>
      <c r="G201" s="206" t="s">
        <v>2170</v>
      </c>
      <c r="H201" s="206" t="s">
        <v>2171</v>
      </c>
      <c r="I201" s="156" t="s">
        <v>80</v>
      </c>
      <c r="J201" s="156" t="s">
        <v>134</v>
      </c>
      <c r="K201" s="156" t="s">
        <v>155</v>
      </c>
      <c r="L201" s="156" t="s">
        <v>66</v>
      </c>
      <c r="M201" s="156" t="s">
        <v>188</v>
      </c>
      <c r="N201" s="7">
        <v>1960</v>
      </c>
      <c r="O201" s="156">
        <v>1</v>
      </c>
      <c r="P201" s="156">
        <v>0</v>
      </c>
      <c r="Q201" s="156" t="s">
        <v>435</v>
      </c>
      <c r="R201" s="156" t="s">
        <v>58</v>
      </c>
      <c r="S201" s="19">
        <f t="shared" si="167"/>
        <v>40</v>
      </c>
      <c r="T201" s="19">
        <v>0.8</v>
      </c>
      <c r="U201" s="19">
        <v>2016</v>
      </c>
      <c r="V201" s="19" t="e">
        <v>#N/A</v>
      </c>
      <c r="W201" s="28" t="s">
        <v>59</v>
      </c>
      <c r="X201" s="19" t="e">
        <v>#N/A</v>
      </c>
      <c r="Y201" s="105">
        <f ca="1">IFERROR(OFFSET(Tab.Const.ConstrBorder!$A$1,MATCH(Q201,Tab.Const.ConstrBorder!$A:$A,0)-1,MATCH(Y$87,Tab.Const.ConstrBorder!$1:$1,0)-1),0)</f>
        <v>0</v>
      </c>
      <c r="Z201" s="18">
        <f t="shared" si="110"/>
        <v>1960</v>
      </c>
      <c r="AA201" s="17">
        <f>MATCH(Z201,Tab.Year.Period!$11:$11,1)-3</f>
        <v>5</v>
      </c>
      <c r="AB201" s="17">
        <f>MATCH(AB$88&amp;"."&amp;TEXT(AA201,"00"),Tab.U.Default!$A:$A,0)</f>
        <v>28</v>
      </c>
      <c r="AC201" s="105">
        <f ca="1">OFFSET(Tab.U.Default!$A$1,$AB201-1,MATCH("U_Class_"&amp;IF($J201="TopCeiling","UpperCeiling",$J201)&amp;"_"&amp;AC$87,Tab.U.Default!$1:$1,0)-1)</f>
        <v>1.2</v>
      </c>
      <c r="AD201" s="105">
        <f ca="1">OFFSET(Tab.U.Default!$A$1,$AB201-1,MATCH("U_Class_"&amp;IF($J201="TopCeiling","UpperCeiling",$J201)&amp;"_"&amp;AD$87,Tab.U.Default!$1:$1,0)-1)</f>
        <v>1.2</v>
      </c>
      <c r="AE201" s="105">
        <f ca="1">OFFSET(Tab.U.Default!$A$1,$AB201-1,MATCH("U_Class_"&amp;IF($J201="TopCeiling","UpperCeiling",$J201)&amp;"_"&amp;AE$87,Tab.U.Default!$1:$1,0)-1)</f>
        <v>0.8</v>
      </c>
      <c r="AF201" s="26">
        <f t="shared" ca="1" si="96"/>
        <v>1.2</v>
      </c>
      <c r="AG201" s="26">
        <f t="shared" ca="1" si="155"/>
        <v>1.2</v>
      </c>
      <c r="AH201" s="18" t="str">
        <f t="shared" si="168"/>
        <v>Refurbish</v>
      </c>
      <c r="AI201" s="18" t="str">
        <f t="shared" si="111"/>
        <v>Add</v>
      </c>
      <c r="AJ201" s="18">
        <f t="shared" si="98"/>
        <v>2016</v>
      </c>
      <c r="AK201" s="17">
        <f>MATCH(AJ201,Tab.Year.Period!$11:$11,1)-3</f>
        <v>12</v>
      </c>
      <c r="AL201" s="17">
        <f>MATCH(AL$88&amp;"."&amp;TEXT(AK201,"00"),Tab.Insulation.Default!$A:$A,0)</f>
        <v>23</v>
      </c>
      <c r="AM201" s="20" t="e">
        <f ca="1">IF(ISNA(IF(S201="",#N/A,S201)),OFFSET(Tab.Insulation.Default!$A$1,$AL201-1,MATCH(AM$87&amp;"_"&amp;$K201,Tab.Insulation.Default!$1:$1,0)-1),#N/A)</f>
        <v>#N/A</v>
      </c>
      <c r="AN201" s="27">
        <f t="shared" si="112"/>
        <v>40</v>
      </c>
      <c r="AO201" s="22">
        <f ca="1">IF(ISNA(IF(V201="",#N/A,V201)),OFFSET(Tab.Insulation.Default!$A$1,$AL201-1,MATCH(AO$87&amp;"_"&amp;$K201,Tab.Insulation.Default!$1:$1,0)-1),#N/A)</f>
        <v>3.5000000000000003E-2</v>
      </c>
      <c r="AP201" s="23">
        <f t="shared" ca="1" si="113"/>
        <v>3.5000000000000003E-2</v>
      </c>
      <c r="AQ201" s="29" t="str">
        <f t="shared" si="169"/>
        <v>Gen.Refurbished.12</v>
      </c>
      <c r="AR201" s="17">
        <f>MATCH(AR$88&amp;"."&amp;AQ201,Tab.Measure.f.Default!$A:$A,0)</f>
        <v>23</v>
      </c>
      <c r="AS201" s="21">
        <f ca="1">OFFSET(Tab.Measure.f.Default!$A$1,AR201-1,MATCH(AS$87&amp;"_"&amp;$J201,Tab.Measure.f.Default!$1:$1,0)-1)</f>
        <v>0.75</v>
      </c>
      <c r="AT201" s="29" t="str">
        <f t="shared" si="170"/>
        <v>MUH.NA.05</v>
      </c>
      <c r="AU201" s="17">
        <f>MATCH(AU$88&amp;"."&amp;AT201,Tab.Measure.f.Default!$A:$A,0)</f>
        <v>40</v>
      </c>
      <c r="AV201" s="21">
        <f ca="1">OFFSET(Tab.Measure.f.Default!$A$1,AU201-1,MATCH(AV$87&amp;"_"&amp;$J201,Tab.Measure.f.Default!$1:$1,0)-1)</f>
        <v>0.37</v>
      </c>
      <c r="AW201" s="30">
        <f t="shared" si="114"/>
        <v>0.8</v>
      </c>
      <c r="AX201" s="9">
        <f t="shared" ca="1" si="171"/>
        <v>0.83333333333333337</v>
      </c>
      <c r="AY201" s="9">
        <f t="shared" ca="1" si="172"/>
        <v>11.428571428571429</v>
      </c>
      <c r="AZ201" s="9">
        <f t="shared" ca="1" si="153"/>
        <v>12.261904761904763</v>
      </c>
      <c r="BA201" s="9">
        <f t="shared" ca="1" si="154"/>
        <v>8.1553398058252416E-2</v>
      </c>
      <c r="BB201" s="9">
        <f t="shared" ca="1" si="173"/>
        <v>0.30524271844660189</v>
      </c>
      <c r="BC201" s="32" t="str">
        <f t="shared" si="174"/>
        <v>D</v>
      </c>
      <c r="BD201" s="20" t="str">
        <f ca="1">OFFSET(Tab.Uncertainty.Levels!$A$1,MATCH(BD$88,Tab.Uncertainty.Levels!$A:$A,0)-1,MATCH(BD$87&amp;"_"&amp;BC201,Tab.Uncertainty.Levels!$1:$1,0)-1)</f>
        <v>Use of default values; building constructed until 1983</v>
      </c>
      <c r="BE201" s="24">
        <f ca="1">OFFSET(Tab.Uncertainty.Levels!$A$1,MATCH(BE$88,Tab.Uncertainty.Levels!$A:$A,0)-1,MATCH(BE$87&amp;"_"&amp;BC201,Tab.Uncertainty.Levels!$1:$1,0)-1)</f>
        <v>0.3</v>
      </c>
      <c r="BF201" s="32" t="str">
        <f t="shared" si="175"/>
        <v>-</v>
      </c>
      <c r="BG201" s="20" t="e">
        <f ca="1">OFFSET(Tab.Uncertainty.Levels!$A$1,MATCH(BG$88,Tab.Uncertainty.Levels!$A:$A,0)-1,MATCH(BG$87&amp;"_"&amp;BF201,Tab.Uncertainty.Levels!$1:$1,0)-1)</f>
        <v>#N/A</v>
      </c>
      <c r="BH201" s="24" t="e">
        <f ca="1">OFFSET(Tab.Uncertainty.Levels!$A$1,MATCH(BH$88,Tab.Uncertainty.Levels!$A:$A,0)-1,MATCH(BH$87&amp;"_"&amp;BF201,Tab.Uncertainty.Levels!$1:$1,0)-1)</f>
        <v>#N/A</v>
      </c>
      <c r="BI201" s="32" t="str">
        <f t="shared" si="137"/>
        <v>D</v>
      </c>
      <c r="BJ201" s="13">
        <f ca="1">IF(BF201="-",BE201,BH201)</f>
        <v>0.3</v>
      </c>
      <c r="BK201" s="32" t="str">
        <f>IF(OR($L201="NoDataSource",IFERROR(IF($S201="",#N/A,$S201),0)=0),IF(IFERROR(IF(U201="",#N/A,U201),0)=0,"E","D"),IF($L201="DesignDataPlusQA","A",IF($L201="DesignData","B","C")))</f>
        <v>C</v>
      </c>
      <c r="BL201" s="20" t="str">
        <f ca="1">OFFSET(Tab.Uncertainty.Levels!$A$1,MATCH(BL$88,Tab.Uncertainty.Levels!$A:$A,0)-1,MATCH(BL$87&amp;"_"&amp;BK201,Tab.Uncertainty.Levels!$1:$1,0)-1)</f>
        <v>Insulation thickness determined by inspection onsite / record or statement of owner</v>
      </c>
      <c r="BM201" s="24">
        <f ca="1">OFFSET(Tab.Uncertainty.Levels!$A$1,MATCH(BM$88,Tab.Uncertainty.Levels!$A:$A,0)-1,MATCH(BM$87&amp;"_"&amp;BK201,Tab.Uncertainty.Levels!$1:$1,0)-1)</f>
        <v>0.25</v>
      </c>
      <c r="BN201" s="34">
        <f ca="1">OFFSET(Tab.Uncertainty.Levels!$A$1,MATCH(BN$88,Tab.Uncertainty.Levels!$A:$A,0)-1,MATCH(BN$87&amp;"_"&amp;BK201,Tab.Uncertainty.Levels!$1:$1,0)-1)</f>
        <v>2</v>
      </c>
      <c r="BO201" s="13">
        <f ca="1">IFERROR(MIN(BM201,BN201/AN201),0)</f>
        <v>0.05</v>
      </c>
      <c r="BP201" s="32" t="str">
        <f>IF(OR($L201="NoDataSource",IFERROR(IF($V201="",#N/A,$V201),0)=0),IF(IFERROR(IF(U201="",#N/A,U201),0)=0,"E","D"),IF($L201="DesignDataPlusQA","A",IF($L201="DesignData","B","C")))</f>
        <v>D</v>
      </c>
      <c r="BQ201" s="20" t="str">
        <f ca="1">OFFSET(Tab.Uncertainty.Levels!$A$1,MATCH(BQ$88,Tab.Uncertainty.Levels!$A:$A,0)-1,MATCH(BQ$87&amp;"_"&amp;BP201,Tab.Uncertainty.Levels!$1:$1,0)-1)</f>
        <v>Insulation available; no information about material</v>
      </c>
      <c r="BR201" s="97">
        <f ca="1">OFFSET(Tab.Uncertainty.Levels!$A$1,MATCH(BR$88,Tab.Uncertainty.Levels!$A:$A,0)-1,MATCH(BR$87&amp;"_"&amp;BP201,Tab.Uncertainty.Levels!$1:$1,0)-1)</f>
        <v>0.2</v>
      </c>
      <c r="BS201" s="32" t="str">
        <f>IF(L201="NoDataSource","D",IF(IFERROR(IF($T201="",#N/A,$T201),0)=0,IF(OR(IFERROR(IF($S201="",#N/A,$S201),0)&gt;0,$R201="Refurbish"),"D","E"),IF($L201="DesignDataPlusQA","A",IF($L201="DesignData","B","C"))))</f>
        <v>C</v>
      </c>
      <c r="BT201" s="20" t="str">
        <f ca="1">OFFSET(Tab.Uncertainty.Levels!$A$1,MATCH(BT$88,Tab.Uncertainty.Levels!$A:$A,0)-1,MATCH(BT$87&amp;"_"&amp;BS201,Tab.Uncertainty.Levels!$1:$1,0)-1)</f>
        <v>Insulation fraction determined by inspection onsite / record or statement of owner</v>
      </c>
      <c r="BU201" s="33">
        <f ca="1">OFFSET(Tab.Uncertainty.Levels!$A$1,MATCH(BU$88,Tab.Uncertainty.Levels!$A:$A,0)-1,MATCH(BU$87&amp;"_"&amp;BS201,Tab.Uncertainty.Levels!$1:$1,0)-1)</f>
        <v>0.2</v>
      </c>
      <c r="BV201" s="13">
        <f ca="1">IFERROR(MIN(BU201/AW201,1,(1-AW201)/AW201),0)</f>
        <v>0.24999999999999994</v>
      </c>
      <c r="BW201" s="96">
        <f ca="1">ABS(1+(AW201*(1/(1+AN201/100/AP201*AG201)^2-1)))*BJ201*$AG201</f>
        <v>7.3330191346969525E-2</v>
      </c>
      <c r="BX201" s="96">
        <f ca="1">ABS(-AG201+1/(1/AG201+AN201/100/AP201))*BV201*AW201</f>
        <v>0.22368932038834949</v>
      </c>
      <c r="BY201" s="96">
        <f ca="1">ABS(-AW201*AP201/((AP201/AG201+AN201/100)^2))*(BO201*AN201/100)</f>
        <v>3.040437364501838E-3</v>
      </c>
      <c r="BZ201" s="202">
        <f ca="1">ABS(AW201*AN201/100/(1/AG201*AP201+AN201/100)^2)*(BR201*AP201)</f>
        <v>1.2161749458007352E-2</v>
      </c>
      <c r="CA201" s="103">
        <f t="shared" ca="1" si="117"/>
        <v>0.23573582975023466</v>
      </c>
      <c r="CB201" s="37">
        <f t="shared" ca="1" si="176"/>
        <v>0.24023567775883786</v>
      </c>
      <c r="CC201" s="37">
        <f t="shared" ca="1" si="177"/>
        <v>0.73282442748091603</v>
      </c>
      <c r="CD201" s="37">
        <f t="shared" ca="1" si="178"/>
        <v>9.9607203735270159E-3</v>
      </c>
      <c r="CE201" s="37">
        <f t="shared" ca="1" si="179"/>
        <v>3.9842881494108064E-2</v>
      </c>
      <c r="CF201" s="13">
        <f t="shared" ca="1" si="180"/>
        <v>0.77228977303671031</v>
      </c>
      <c r="CG201" s="101">
        <f ca="1">AG201</f>
        <v>1.2</v>
      </c>
      <c r="CH201" s="101">
        <f>AW201</f>
        <v>0.8</v>
      </c>
      <c r="CI201" s="203">
        <f>IF(CH201&gt;0,AN201,0)</f>
        <v>40</v>
      </c>
      <c r="CJ201" s="102">
        <f ca="1">IF(AND(CH201&gt;0,CI201&gt;0),AP201,0)</f>
        <v>3.5000000000000003E-2</v>
      </c>
      <c r="CK201" s="102">
        <f ca="1">BB201</f>
        <v>0.30524271844660189</v>
      </c>
      <c r="CL201" s="37">
        <f t="shared" ca="1" si="156"/>
        <v>0.3</v>
      </c>
      <c r="CM201" s="37">
        <f t="shared" ca="1" si="157"/>
        <v>0.24999999999999994</v>
      </c>
      <c r="CN201" s="37">
        <f t="shared" ca="1" si="158"/>
        <v>0.05</v>
      </c>
      <c r="CO201" s="37">
        <f t="shared" ca="1" si="159"/>
        <v>0.2</v>
      </c>
      <c r="CP201" s="37">
        <f t="shared" ca="1" si="160"/>
        <v>0.77228977303671031</v>
      </c>
      <c r="CQ201" s="95">
        <f t="shared" ca="1" si="161"/>
        <v>0.36</v>
      </c>
      <c r="CR201" s="95">
        <f t="shared" ca="1" si="162"/>
        <v>0.19999999999999996</v>
      </c>
      <c r="CS201" s="95">
        <f t="shared" ca="1" si="163"/>
        <v>2</v>
      </c>
      <c r="CT201" s="103">
        <f t="shared" ca="1" si="164"/>
        <v>7.000000000000001E-3</v>
      </c>
      <c r="CU201" s="95">
        <f t="shared" ca="1" si="165"/>
        <v>0.23573582975023463</v>
      </c>
      <c r="CV201" s="37">
        <f ca="1">$CB201^2/$CF201^2</f>
        <v>9.6764140548622549E-2</v>
      </c>
      <c r="CW201" s="37">
        <f ca="1">$CD201^2/$CF201^2</f>
        <v>1.6634928140900676E-4</v>
      </c>
      <c r="CX201" s="37">
        <f ca="1">$CE201^2/$CF201^2</f>
        <v>2.6615885025441082E-3</v>
      </c>
      <c r="CY201" s="37">
        <f ca="1">$CC201^2/$CF201^2</f>
        <v>0.90040792166742445</v>
      </c>
      <c r="DA201" s="98" t="s">
        <v>214</v>
      </c>
      <c r="DB201" s="36">
        <f ca="1">OFFSET($A$1,ROW(DB201)-1,MATCH(DA201,$1:$1,0)-1)</f>
        <v>40</v>
      </c>
      <c r="DC201" s="9">
        <f ca="1">BB201</f>
        <v>0.30524271844660189</v>
      </c>
      <c r="DD201" s="9">
        <f ca="1">$DC201+$CA201</f>
        <v>0.54097854819683655</v>
      </c>
      <c r="DE201" s="9">
        <f ca="1">$DC201-$CA201</f>
        <v>6.9506888696367231E-2</v>
      </c>
      <c r="DF201" s="10">
        <f t="shared" ref="DF201:DF259" ca="1" si="181">0.5*(DD201-DE201)/DC201</f>
        <v>0.77228977303671043</v>
      </c>
    </row>
    <row r="202" spans="1:110" s="8" customFormat="1" ht="32.4" customHeight="1">
      <c r="A202" s="206" t="s">
        <v>638</v>
      </c>
      <c r="B202" s="209" t="s">
        <v>2345</v>
      </c>
      <c r="C202" s="206" t="str">
        <f t="shared" si="151"/>
        <v>Parameter-Variation: Lambda_Insulation_Effective = NA</v>
      </c>
      <c r="D202" s="206"/>
      <c r="E202" s="206" t="s">
        <v>200</v>
      </c>
      <c r="F202" s="206" t="str">
        <f>IFERROR(TEXT(V202,"0,000")&amp;" W/(m·K)","NA")</f>
        <v>NA</v>
      </c>
      <c r="G202" s="206" t="s">
        <v>2170</v>
      </c>
      <c r="H202" s="206" t="s">
        <v>2171</v>
      </c>
      <c r="I202" s="156" t="s">
        <v>80</v>
      </c>
      <c r="J202" s="156" t="s">
        <v>134</v>
      </c>
      <c r="K202" s="156" t="s">
        <v>155</v>
      </c>
      <c r="L202" s="156" t="s">
        <v>66</v>
      </c>
      <c r="M202" s="156" t="s">
        <v>188</v>
      </c>
      <c r="N202" s="7">
        <v>1960</v>
      </c>
      <c r="O202" s="156">
        <v>1</v>
      </c>
      <c r="P202" s="156">
        <v>0</v>
      </c>
      <c r="Q202" s="156" t="s">
        <v>435</v>
      </c>
      <c r="R202" s="156" t="s">
        <v>58</v>
      </c>
      <c r="S202" s="19">
        <v>12</v>
      </c>
      <c r="T202" s="19">
        <v>0.8</v>
      </c>
      <c r="U202" s="19">
        <v>2016</v>
      </c>
      <c r="V202" s="19" t="e">
        <v>#N/A</v>
      </c>
      <c r="W202" s="28" t="s">
        <v>59</v>
      </c>
      <c r="X202" s="19" t="e">
        <v>#N/A</v>
      </c>
      <c r="Y202" s="105">
        <f ca="1">IFERROR(OFFSET(Tab.Const.ConstrBorder!$A$1,MATCH(Q202,Tab.Const.ConstrBorder!$A:$A,0)-1,MATCH(Y$87,Tab.Const.ConstrBorder!$1:$1,0)-1),0)</f>
        <v>0</v>
      </c>
      <c r="Z202" s="18">
        <f t="shared" si="110"/>
        <v>1960</v>
      </c>
      <c r="AA202" s="17">
        <f>MATCH(Z202,Tab.Year.Period!$11:$11,1)-3</f>
        <v>5</v>
      </c>
      <c r="AB202" s="17">
        <f>MATCH(AB$88&amp;"."&amp;TEXT(AA202,"00"),Tab.U.Default!$A:$A,0)</f>
        <v>28</v>
      </c>
      <c r="AC202" s="105">
        <f ca="1">OFFSET(Tab.U.Default!$A$1,$AB202-1,MATCH("U_Class_"&amp;IF($J202="TopCeiling","UpperCeiling",$J202)&amp;"_"&amp;AC$87,Tab.U.Default!$1:$1,0)-1)</f>
        <v>1.2</v>
      </c>
      <c r="AD202" s="105">
        <f ca="1">OFFSET(Tab.U.Default!$A$1,$AB202-1,MATCH("U_Class_"&amp;IF($J202="TopCeiling","UpperCeiling",$J202)&amp;"_"&amp;AD$87,Tab.U.Default!$1:$1,0)-1)</f>
        <v>1.2</v>
      </c>
      <c r="AE202" s="105">
        <f ca="1">OFFSET(Tab.U.Default!$A$1,$AB202-1,MATCH("U_Class_"&amp;IF($J202="TopCeiling","UpperCeiling",$J202)&amp;"_"&amp;AE$87,Tab.U.Default!$1:$1,0)-1)</f>
        <v>0.8</v>
      </c>
      <c r="AF202" s="26">
        <f t="shared" ca="1" si="96"/>
        <v>1.2</v>
      </c>
      <c r="AG202" s="26">
        <f t="shared" ca="1" si="155"/>
        <v>1.2</v>
      </c>
      <c r="AH202" s="18" t="str">
        <f t="shared" si="168"/>
        <v>Refurbish</v>
      </c>
      <c r="AI202" s="18" t="str">
        <f t="shared" si="111"/>
        <v>Add</v>
      </c>
      <c r="AJ202" s="18">
        <f t="shared" si="98"/>
        <v>2016</v>
      </c>
      <c r="AK202" s="17">
        <f>MATCH(AJ202,Tab.Year.Period!$11:$11,1)-3</f>
        <v>12</v>
      </c>
      <c r="AL202" s="17">
        <f>MATCH(AL$88&amp;"."&amp;TEXT(AK202,"00"),Tab.Insulation.Default!$A:$A,0)</f>
        <v>23</v>
      </c>
      <c r="AM202" s="20" t="e">
        <f ca="1">IF(ISNA(IF(S202="",#N/A,S202)),OFFSET(Tab.Insulation.Default!$A$1,$AL202-1,MATCH(AM$87&amp;"_"&amp;$K202,Tab.Insulation.Default!$1:$1,0)-1),#N/A)</f>
        <v>#N/A</v>
      </c>
      <c r="AN202" s="27">
        <f t="shared" si="112"/>
        <v>12</v>
      </c>
      <c r="AO202" s="22">
        <f ca="1">IF(ISNA(IF(V202="",#N/A,V202)),OFFSET(Tab.Insulation.Default!$A$1,$AL202-1,MATCH(AO$87&amp;"_"&amp;$K202,Tab.Insulation.Default!$1:$1,0)-1),#N/A)</f>
        <v>3.5000000000000003E-2</v>
      </c>
      <c r="AP202" s="23">
        <f t="shared" ca="1" si="113"/>
        <v>3.5000000000000003E-2</v>
      </c>
      <c r="AQ202" s="29" t="str">
        <f t="shared" si="169"/>
        <v>Gen.Refurbished.12</v>
      </c>
      <c r="AR202" s="17">
        <f>MATCH(AR$88&amp;"."&amp;AQ202,Tab.Measure.f.Default!$A:$A,0)</f>
        <v>23</v>
      </c>
      <c r="AS202" s="21">
        <f ca="1">OFFSET(Tab.Measure.f.Default!$A$1,AR202-1,MATCH(AS$87&amp;"_"&amp;$J202,Tab.Measure.f.Default!$1:$1,0)-1)</f>
        <v>0.75</v>
      </c>
      <c r="AT202" s="29" t="str">
        <f t="shared" si="170"/>
        <v>MUH.NA.05</v>
      </c>
      <c r="AU202" s="17">
        <f>MATCH(AU$88&amp;"."&amp;AT202,Tab.Measure.f.Default!$A:$A,0)</f>
        <v>40</v>
      </c>
      <c r="AV202" s="21">
        <f ca="1">OFFSET(Tab.Measure.f.Default!$A$1,AU202-1,MATCH(AV$87&amp;"_"&amp;$J202,Tab.Measure.f.Default!$1:$1,0)-1)</f>
        <v>0.37</v>
      </c>
      <c r="AW202" s="30">
        <f t="shared" si="114"/>
        <v>0.8</v>
      </c>
      <c r="AX202" s="9">
        <f t="shared" ca="1" si="171"/>
        <v>0.83333333333333337</v>
      </c>
      <c r="AY202" s="9">
        <f t="shared" ca="1" si="172"/>
        <v>3.4285714285714279</v>
      </c>
      <c r="AZ202" s="9">
        <f t="shared" ca="1" si="153"/>
        <v>4.261904761904761</v>
      </c>
      <c r="BA202" s="9">
        <f t="shared" ca="1" si="154"/>
        <v>0.23463687150837995</v>
      </c>
      <c r="BB202" s="9">
        <f t="shared" ca="1" si="173"/>
        <v>0.42770949720670393</v>
      </c>
      <c r="BC202" s="32" t="str">
        <f t="shared" si="174"/>
        <v>D</v>
      </c>
      <c r="BD202" s="20" t="str">
        <f ca="1">OFFSET(Tab.Uncertainty.Levels!$A$1,MATCH(BD$88,Tab.Uncertainty.Levels!$A:$A,0)-1,MATCH(BD$87&amp;"_"&amp;BC202,Tab.Uncertainty.Levels!$1:$1,0)-1)</f>
        <v>Use of default values; building constructed until 1983</v>
      </c>
      <c r="BE202" s="24">
        <f ca="1">OFFSET(Tab.Uncertainty.Levels!$A$1,MATCH(BE$88,Tab.Uncertainty.Levels!$A:$A,0)-1,MATCH(BE$87&amp;"_"&amp;BC202,Tab.Uncertainty.Levels!$1:$1,0)-1)</f>
        <v>0.3</v>
      </c>
      <c r="BF202" s="32" t="str">
        <f t="shared" si="175"/>
        <v>-</v>
      </c>
      <c r="BG202" s="20" t="e">
        <f ca="1">OFFSET(Tab.Uncertainty.Levels!$A$1,MATCH(BG$88,Tab.Uncertainty.Levels!$A:$A,0)-1,MATCH(BG$87&amp;"_"&amp;BF202,Tab.Uncertainty.Levels!$1:$1,0)-1)</f>
        <v>#N/A</v>
      </c>
      <c r="BH202" s="24" t="e">
        <f ca="1">OFFSET(Tab.Uncertainty.Levels!$A$1,MATCH(BH$88,Tab.Uncertainty.Levels!$A:$A,0)-1,MATCH(BH$87&amp;"_"&amp;BF202,Tab.Uncertainty.Levels!$1:$1,0)-1)</f>
        <v>#N/A</v>
      </c>
      <c r="BI202" s="32" t="str">
        <f t="shared" si="137"/>
        <v>D</v>
      </c>
      <c r="BJ202" s="13">
        <f ca="1">IF(BF202="-",BE202,BH202)</f>
        <v>0.3</v>
      </c>
      <c r="BK202" s="32" t="str">
        <f>IF(OR($L202="NoDataSource",IFERROR(IF($S202="",#N/A,$S202),0)=0),IF(IFERROR(IF(U202="",#N/A,U202),0)=0,"E","D"),IF($L202="DesignDataPlusQA","A",IF($L202="DesignData","B","C")))</f>
        <v>C</v>
      </c>
      <c r="BL202" s="20" t="str">
        <f ca="1">OFFSET(Tab.Uncertainty.Levels!$A$1,MATCH(BL$88,Tab.Uncertainty.Levels!$A:$A,0)-1,MATCH(BL$87&amp;"_"&amp;BK202,Tab.Uncertainty.Levels!$1:$1,0)-1)</f>
        <v>Insulation thickness determined by inspection onsite / record or statement of owner</v>
      </c>
      <c r="BM202" s="24">
        <f ca="1">OFFSET(Tab.Uncertainty.Levels!$A$1,MATCH(BM$88,Tab.Uncertainty.Levels!$A:$A,0)-1,MATCH(BM$87&amp;"_"&amp;BK202,Tab.Uncertainty.Levels!$1:$1,0)-1)</f>
        <v>0.25</v>
      </c>
      <c r="BN202" s="34">
        <f ca="1">OFFSET(Tab.Uncertainty.Levels!$A$1,MATCH(BN$88,Tab.Uncertainty.Levels!$A:$A,0)-1,MATCH(BN$87&amp;"_"&amp;BK202,Tab.Uncertainty.Levels!$1:$1,0)-1)</f>
        <v>2</v>
      </c>
      <c r="BO202" s="13">
        <f ca="1">IFERROR(MIN(BM202,BN202/AN202),0)</f>
        <v>0.16666666666666666</v>
      </c>
      <c r="BP202" s="32" t="str">
        <f>IF(OR($L202="NoDataSource",IFERROR(IF($V202="",#N/A,$V202),0)=0),IF(IFERROR(IF(U202="",#N/A,U202),0)=0,"E","D"),IF($L202="DesignDataPlusQA","A",IF($L202="DesignData","B","C")))</f>
        <v>D</v>
      </c>
      <c r="BQ202" s="20" t="str">
        <f ca="1">OFFSET(Tab.Uncertainty.Levels!$A$1,MATCH(BQ$88,Tab.Uncertainty.Levels!$A:$A,0)-1,MATCH(BQ$87&amp;"_"&amp;BP202,Tab.Uncertainty.Levels!$1:$1,0)-1)</f>
        <v>Insulation available; no information about material</v>
      </c>
      <c r="BR202" s="97">
        <f ca="1">OFFSET(Tab.Uncertainty.Levels!$A$1,MATCH(BR$88,Tab.Uncertainty.Levels!$A:$A,0)-1,MATCH(BR$87&amp;"_"&amp;BP202,Tab.Uncertainty.Levels!$1:$1,0)-1)</f>
        <v>0.2</v>
      </c>
      <c r="BS202" s="32" t="str">
        <f>IF(L202="NoDataSource","D",IF(IFERROR(IF($T202="",#N/A,$T202),0)=0,IF(OR(IFERROR(IF($S202="",#N/A,$S202),0)&gt;0,$R202="Refurbish"),"D","E"),IF($L202="DesignDataPlusQA","A",IF($L202="DesignData","B","C"))))</f>
        <v>C</v>
      </c>
      <c r="BT202" s="20" t="str">
        <f ca="1">OFFSET(Tab.Uncertainty.Levels!$A$1,MATCH(BT$88,Tab.Uncertainty.Levels!$A:$A,0)-1,MATCH(BT$87&amp;"_"&amp;BS202,Tab.Uncertainty.Levels!$1:$1,0)-1)</f>
        <v>Insulation fraction determined by inspection onsite / record or statement of owner</v>
      </c>
      <c r="BU202" s="33">
        <f ca="1">OFFSET(Tab.Uncertainty.Levels!$A$1,MATCH(BU$88,Tab.Uncertainty.Levels!$A:$A,0)-1,MATCH(BU$87&amp;"_"&amp;BS202,Tab.Uncertainty.Levels!$1:$1,0)-1)</f>
        <v>0.2</v>
      </c>
      <c r="BV202" s="13">
        <f ca="1">IFERROR(MIN(BU202/AW202,1,(1-AW202)/AW202),0)</f>
        <v>0.24999999999999994</v>
      </c>
      <c r="BW202" s="96">
        <f ca="1">ABS(1+(AW202*(1/(1+AN202/100/AP202*AG202)^2-1)))*BJ202*$AG202</f>
        <v>8.3010892294247976E-2</v>
      </c>
      <c r="BX202" s="96">
        <f ca="1">ABS(-AG202+1/(1/AG202+AN202/100/AP202))*BV202*AW202</f>
        <v>0.19307262569832395</v>
      </c>
      <c r="BY202" s="96">
        <f ca="1">ABS(-AW202*AP202/((AP202/AG202+AN202/100)^2))*(BO202*AN202/100)</f>
        <v>2.516775381542399E-2</v>
      </c>
      <c r="BZ202" s="202">
        <f ca="1">ABS(AW202*AN202/100/(1/AG202*AP202+AN202/100)^2)*(BR202*AP202)</f>
        <v>3.0201304578508798E-2</v>
      </c>
      <c r="CA202" s="103">
        <f t="shared" ca="1" si="117"/>
        <v>0.21380687936521123</v>
      </c>
      <c r="CB202" s="37">
        <f t="shared" ca="1" si="176"/>
        <v>0.19408241536925794</v>
      </c>
      <c r="CC202" s="37">
        <f t="shared" ca="1" si="177"/>
        <v>0.45141065830720983</v>
      </c>
      <c r="CD202" s="37">
        <f t="shared" ca="1" si="178"/>
        <v>5.8843102572634455E-2</v>
      </c>
      <c r="CE202" s="37">
        <f t="shared" ca="1" si="179"/>
        <v>7.0611723087161377E-2</v>
      </c>
      <c r="CF202" s="13">
        <f t="shared" ca="1" si="180"/>
        <v>0.49988808002054347</v>
      </c>
      <c r="CG202" s="101">
        <f ca="1">AG202</f>
        <v>1.2</v>
      </c>
      <c r="CH202" s="101">
        <f>AW202</f>
        <v>0.8</v>
      </c>
      <c r="CI202" s="203">
        <f>IF(CH202&gt;0,AN202,0)</f>
        <v>12</v>
      </c>
      <c r="CJ202" s="102">
        <f ca="1">IF(AND(CH202&gt;0,CI202&gt;0),AP202,0)</f>
        <v>3.5000000000000003E-2</v>
      </c>
      <c r="CK202" s="102">
        <f ca="1">BB202</f>
        <v>0.42770949720670393</v>
      </c>
      <c r="CL202" s="37">
        <f t="shared" ca="1" si="156"/>
        <v>0.3</v>
      </c>
      <c r="CM202" s="37">
        <f t="shared" ca="1" si="157"/>
        <v>0.24999999999999994</v>
      </c>
      <c r="CN202" s="37">
        <f t="shared" ca="1" si="158"/>
        <v>0.16666666666666666</v>
      </c>
      <c r="CO202" s="37">
        <f t="shared" ca="1" si="159"/>
        <v>0.2</v>
      </c>
      <c r="CP202" s="37">
        <f t="shared" ca="1" si="160"/>
        <v>0.49988808002054347</v>
      </c>
      <c r="CQ202" s="95">
        <f t="shared" ca="1" si="161"/>
        <v>0.36</v>
      </c>
      <c r="CR202" s="95">
        <f t="shared" ca="1" si="162"/>
        <v>0.19999999999999996</v>
      </c>
      <c r="CS202" s="95">
        <f t="shared" ca="1" si="163"/>
        <v>2</v>
      </c>
      <c r="CT202" s="103">
        <f t="shared" ca="1" si="164"/>
        <v>7.000000000000001E-3</v>
      </c>
      <c r="CU202" s="95">
        <f t="shared" ca="1" si="165"/>
        <v>0.21380687936521123</v>
      </c>
      <c r="CV202" s="37">
        <f ca="1">$CB202^2/$CF202^2</f>
        <v>0.15073941127681745</v>
      </c>
      <c r="CW202" s="37">
        <f ca="1">$CD202^2/$CF202^2</f>
        <v>1.3856245350016141E-2</v>
      </c>
      <c r="CX202" s="37">
        <f ca="1">$CE202^2/$CF202^2</f>
        <v>1.995299330402326E-2</v>
      </c>
      <c r="CY202" s="37">
        <f ca="1">$CC202^2/$CF202^2</f>
        <v>0.81545135006914304</v>
      </c>
      <c r="DA202" s="98" t="s">
        <v>214</v>
      </c>
      <c r="DB202" s="36">
        <f ca="1">OFFSET($A$1,ROW(DB202)-1,MATCH(DA202,$1:$1,0)-1)</f>
        <v>12</v>
      </c>
      <c r="DC202" s="9">
        <f ca="1">BB202</f>
        <v>0.42770949720670393</v>
      </c>
      <c r="DD202" s="9">
        <f ca="1">$DC202+$CA202</f>
        <v>0.64151637657191518</v>
      </c>
      <c r="DE202" s="9">
        <f ca="1">$DC202-$CA202</f>
        <v>0.2139026178414927</v>
      </c>
      <c r="DF202" s="10">
        <f t="shared" ca="1" si="181"/>
        <v>0.49988808002054352</v>
      </c>
    </row>
    <row r="203" spans="1:110" s="8" customFormat="1" ht="32.4" customHeight="1">
      <c r="A203" s="206" t="s">
        <v>639</v>
      </c>
      <c r="B203" s="209" t="s">
        <v>2345</v>
      </c>
      <c r="C203" s="206" t="str">
        <f t="shared" si="151"/>
        <v>Parameter-Variation: Lambda_Insulation_Effective = 0,020 W/(m·K)</v>
      </c>
      <c r="D203" s="206"/>
      <c r="E203" s="206" t="s">
        <v>200</v>
      </c>
      <c r="F203" s="206" t="str">
        <f>IFERROR(TEXT(V203,"0,000")&amp;" W/(m·K)","NA")</f>
        <v>0,020 W/(m·K)</v>
      </c>
      <c r="G203" s="206" t="s">
        <v>2170</v>
      </c>
      <c r="H203" s="206" t="s">
        <v>2171</v>
      </c>
      <c r="I203" s="156" t="s">
        <v>80</v>
      </c>
      <c r="J203" s="156" t="s">
        <v>134</v>
      </c>
      <c r="K203" s="156" t="s">
        <v>155</v>
      </c>
      <c r="L203" s="156" t="s">
        <v>66</v>
      </c>
      <c r="M203" s="156" t="s">
        <v>188</v>
      </c>
      <c r="N203" s="7">
        <v>1960</v>
      </c>
      <c r="O203" s="156">
        <v>1</v>
      </c>
      <c r="P203" s="156">
        <v>0</v>
      </c>
      <c r="Q203" s="156" t="s">
        <v>435</v>
      </c>
      <c r="R203" s="156" t="s">
        <v>58</v>
      </c>
      <c r="S203" s="19">
        <v>12</v>
      </c>
      <c r="T203" s="19">
        <v>0.8</v>
      </c>
      <c r="U203" s="19">
        <v>2016</v>
      </c>
      <c r="V203" s="19">
        <v>0.02</v>
      </c>
      <c r="W203" s="28" t="s">
        <v>59</v>
      </c>
      <c r="X203" s="19" t="e">
        <v>#N/A</v>
      </c>
      <c r="Y203" s="105">
        <f ca="1">IFERROR(OFFSET(Tab.Const.ConstrBorder!$A$1,MATCH(Q203,Tab.Const.ConstrBorder!$A:$A,0)-1,MATCH(Y$87,Tab.Const.ConstrBorder!$1:$1,0)-1),0)</f>
        <v>0</v>
      </c>
      <c r="Z203" s="18">
        <f t="shared" si="110"/>
        <v>1960</v>
      </c>
      <c r="AA203" s="17">
        <f>MATCH(Z203,Tab.Year.Period!$11:$11,1)-3</f>
        <v>5</v>
      </c>
      <c r="AB203" s="17">
        <f>MATCH(AB$88&amp;"."&amp;TEXT(AA203,"00"),Tab.U.Default!$A:$A,0)</f>
        <v>28</v>
      </c>
      <c r="AC203" s="105">
        <f ca="1">OFFSET(Tab.U.Default!$A$1,$AB203-1,MATCH("U_Class_"&amp;IF($J203="TopCeiling","UpperCeiling",$J203)&amp;"_"&amp;AC$87,Tab.U.Default!$1:$1,0)-1)</f>
        <v>1.2</v>
      </c>
      <c r="AD203" s="105">
        <f ca="1">OFFSET(Tab.U.Default!$A$1,$AB203-1,MATCH("U_Class_"&amp;IF($J203="TopCeiling","UpperCeiling",$J203)&amp;"_"&amp;AD$87,Tab.U.Default!$1:$1,0)-1)</f>
        <v>1.2</v>
      </c>
      <c r="AE203" s="105">
        <f ca="1">OFFSET(Tab.U.Default!$A$1,$AB203-1,MATCH("U_Class_"&amp;IF($J203="TopCeiling","UpperCeiling",$J203)&amp;"_"&amp;AE$87,Tab.U.Default!$1:$1,0)-1)</f>
        <v>0.8</v>
      </c>
      <c r="AF203" s="26">
        <f t="shared" ca="1" si="96"/>
        <v>1.2</v>
      </c>
      <c r="AG203" s="26">
        <f t="shared" ca="1" si="155"/>
        <v>1.2</v>
      </c>
      <c r="AH203" s="18" t="str">
        <f t="shared" si="168"/>
        <v>Refurbish</v>
      </c>
      <c r="AI203" s="18" t="str">
        <f t="shared" si="111"/>
        <v>Add</v>
      </c>
      <c r="AJ203" s="18">
        <f t="shared" si="98"/>
        <v>2016</v>
      </c>
      <c r="AK203" s="17">
        <f>MATCH(AJ203,Tab.Year.Period!$11:$11,1)-3</f>
        <v>12</v>
      </c>
      <c r="AL203" s="17">
        <f>MATCH(AL$88&amp;"."&amp;TEXT(AK203,"00"),Tab.Insulation.Default!$A:$A,0)</f>
        <v>23</v>
      </c>
      <c r="AM203" s="20" t="e">
        <f ca="1">IF(ISNA(IF(S203="",#N/A,S203)),OFFSET(Tab.Insulation.Default!$A$1,$AL203-1,MATCH(AM$87&amp;"_"&amp;$K203,Tab.Insulation.Default!$1:$1,0)-1),#N/A)</f>
        <v>#N/A</v>
      </c>
      <c r="AN203" s="27">
        <f t="shared" si="112"/>
        <v>12</v>
      </c>
      <c r="AO203" s="22" t="e">
        <f ca="1">IF(ISNA(IF(V203="",#N/A,V203)),OFFSET(Tab.Insulation.Default!$A$1,$AL203-1,MATCH(AO$87&amp;"_"&amp;$K203,Tab.Insulation.Default!$1:$1,0)-1),#N/A)</f>
        <v>#N/A</v>
      </c>
      <c r="AP203" s="23">
        <f t="shared" si="113"/>
        <v>0.02</v>
      </c>
      <c r="AQ203" s="29" t="str">
        <f t="shared" si="169"/>
        <v>Gen.Refurbished.12</v>
      </c>
      <c r="AR203" s="17">
        <f>MATCH(AR$88&amp;"."&amp;AQ203,Tab.Measure.f.Default!$A:$A,0)</f>
        <v>23</v>
      </c>
      <c r="AS203" s="21">
        <f ca="1">OFFSET(Tab.Measure.f.Default!$A$1,AR203-1,MATCH(AS$87&amp;"_"&amp;$J203,Tab.Measure.f.Default!$1:$1,0)-1)</f>
        <v>0.75</v>
      </c>
      <c r="AT203" s="29" t="str">
        <f t="shared" si="170"/>
        <v>MUH.NA.05</v>
      </c>
      <c r="AU203" s="17">
        <f>MATCH(AU$88&amp;"."&amp;AT203,Tab.Measure.f.Default!$A:$A,0)</f>
        <v>40</v>
      </c>
      <c r="AV203" s="21">
        <f ca="1">OFFSET(Tab.Measure.f.Default!$A$1,AU203-1,MATCH(AV$87&amp;"_"&amp;$J203,Tab.Measure.f.Default!$1:$1,0)-1)</f>
        <v>0.37</v>
      </c>
      <c r="AW203" s="30">
        <f t="shared" si="114"/>
        <v>0.8</v>
      </c>
      <c r="AX203" s="9">
        <f t="shared" ca="1" si="171"/>
        <v>0.83333333333333337</v>
      </c>
      <c r="AY203" s="9">
        <f t="shared" si="172"/>
        <v>6</v>
      </c>
      <c r="AZ203" s="9">
        <f t="shared" ca="1" si="153"/>
        <v>6.833333333333333</v>
      </c>
      <c r="BA203" s="9">
        <f t="shared" ca="1" si="154"/>
        <v>0.14634146341463417</v>
      </c>
      <c r="BB203" s="9">
        <f t="shared" ca="1" si="173"/>
        <v>0.3570731707317073</v>
      </c>
      <c r="BC203" s="32" t="str">
        <f t="shared" si="174"/>
        <v>D</v>
      </c>
      <c r="BD203" s="20" t="str">
        <f ca="1">OFFSET(Tab.Uncertainty.Levels!$A$1,MATCH(BD$88,Tab.Uncertainty.Levels!$A:$A,0)-1,MATCH(BD$87&amp;"_"&amp;BC203,Tab.Uncertainty.Levels!$1:$1,0)-1)</f>
        <v>Use of default values; building constructed until 1983</v>
      </c>
      <c r="BE203" s="24">
        <f ca="1">OFFSET(Tab.Uncertainty.Levels!$A$1,MATCH(BE$88,Tab.Uncertainty.Levels!$A:$A,0)-1,MATCH(BE$87&amp;"_"&amp;BC203,Tab.Uncertainty.Levels!$1:$1,0)-1)</f>
        <v>0.3</v>
      </c>
      <c r="BF203" s="32" t="str">
        <f t="shared" si="175"/>
        <v>-</v>
      </c>
      <c r="BG203" s="20" t="e">
        <f ca="1">OFFSET(Tab.Uncertainty.Levels!$A$1,MATCH(BG$88,Tab.Uncertainty.Levels!$A:$A,0)-1,MATCH(BG$87&amp;"_"&amp;BF203,Tab.Uncertainty.Levels!$1:$1,0)-1)</f>
        <v>#N/A</v>
      </c>
      <c r="BH203" s="24" t="e">
        <f ca="1">OFFSET(Tab.Uncertainty.Levels!$A$1,MATCH(BH$88,Tab.Uncertainty.Levels!$A:$A,0)-1,MATCH(BH$87&amp;"_"&amp;BF203,Tab.Uncertainty.Levels!$1:$1,0)-1)</f>
        <v>#N/A</v>
      </c>
      <c r="BI203" s="32" t="str">
        <f t="shared" si="137"/>
        <v>D</v>
      </c>
      <c r="BJ203" s="13">
        <f ca="1">IF(BF203="-",BE203,BH203)</f>
        <v>0.3</v>
      </c>
      <c r="BK203" s="32" t="str">
        <f>IF(OR($L203="NoDataSource",IFERROR(IF($S203="",#N/A,$S203),0)=0),IF(IFERROR(IF(U203="",#N/A,U203),0)=0,"E","D"),IF($L203="DesignDataPlusQA","A",IF($L203="DesignData","B","C")))</f>
        <v>C</v>
      </c>
      <c r="BL203" s="20" t="str">
        <f ca="1">OFFSET(Tab.Uncertainty.Levels!$A$1,MATCH(BL$88,Tab.Uncertainty.Levels!$A:$A,0)-1,MATCH(BL$87&amp;"_"&amp;BK203,Tab.Uncertainty.Levels!$1:$1,0)-1)</f>
        <v>Insulation thickness determined by inspection onsite / record or statement of owner</v>
      </c>
      <c r="BM203" s="24">
        <f ca="1">OFFSET(Tab.Uncertainty.Levels!$A$1,MATCH(BM$88,Tab.Uncertainty.Levels!$A:$A,0)-1,MATCH(BM$87&amp;"_"&amp;BK203,Tab.Uncertainty.Levels!$1:$1,0)-1)</f>
        <v>0.25</v>
      </c>
      <c r="BN203" s="34">
        <f ca="1">OFFSET(Tab.Uncertainty.Levels!$A$1,MATCH(BN$88,Tab.Uncertainty.Levels!$A:$A,0)-1,MATCH(BN$87&amp;"_"&amp;BK203,Tab.Uncertainty.Levels!$1:$1,0)-1)</f>
        <v>2</v>
      </c>
      <c r="BO203" s="13">
        <f ca="1">IFERROR(MIN(BM203,BN203/AN203),0)</f>
        <v>0.16666666666666666</v>
      </c>
      <c r="BP203" s="32" t="str">
        <f>IF(OR($L203="NoDataSource",IFERROR(IF($V203="",#N/A,$V203),0)=0),IF(IFERROR(IF(U203="",#N/A,U203),0)=0,"E","D"),IF($L203="DesignDataPlusQA","A",IF($L203="DesignData","B","C")))</f>
        <v>C</v>
      </c>
      <c r="BQ203" s="20" t="str">
        <f ca="1">OFFSET(Tab.Uncertainty.Levels!$A$1,MATCH(BQ$88,Tab.Uncertainty.Levels!$A:$A,0)-1,MATCH(BQ$87&amp;"_"&amp;BP203,Tab.Uncertainty.Levels!$1:$1,0)-1)</f>
        <v>Thermal conductivity of Insulation determined by inspection onsite / record or statement of owner</v>
      </c>
      <c r="BR203" s="97">
        <f ca="1">OFFSET(Tab.Uncertainty.Levels!$A$1,MATCH(BR$88,Tab.Uncertainty.Levels!$A:$A,0)-1,MATCH(BR$87&amp;"_"&amp;BP203,Tab.Uncertainty.Levels!$1:$1,0)-1)</f>
        <v>0.15</v>
      </c>
      <c r="BS203" s="32" t="str">
        <f>IF(L203="NoDataSource","D",IF(IFERROR(IF($T203="",#N/A,$T203),0)=0,IF(OR(IFERROR(IF($S203="",#N/A,$S203),0)&gt;0,$R203="Refurbish"),"D","E"),IF($L203="DesignDataPlusQA","A",IF($L203="DesignData","B","C"))))</f>
        <v>C</v>
      </c>
      <c r="BT203" s="20" t="str">
        <f ca="1">OFFSET(Tab.Uncertainty.Levels!$A$1,MATCH(BT$88,Tab.Uncertainty.Levels!$A:$A,0)-1,MATCH(BT$87&amp;"_"&amp;BS203,Tab.Uncertainty.Levels!$1:$1,0)-1)</f>
        <v>Insulation fraction determined by inspection onsite / record or statement of owner</v>
      </c>
      <c r="BU203" s="33">
        <f ca="1">OFFSET(Tab.Uncertainty.Levels!$A$1,MATCH(BU$88,Tab.Uncertainty.Levels!$A:$A,0)-1,MATCH(BU$87&amp;"_"&amp;BS203,Tab.Uncertainty.Levels!$1:$1,0)-1)</f>
        <v>0.2</v>
      </c>
      <c r="BV203" s="13">
        <f ca="1">IFERROR(MIN(BU203/AW203,1,(1-AW203)/AW203),0)</f>
        <v>0.24999999999999994</v>
      </c>
      <c r="BW203" s="96">
        <f ca="1">ABS(1+(AW203*(1/(1+AN203/100/AP203*AG203)^2-1)))*BJ203*$AG203</f>
        <v>7.6283164782867327E-2</v>
      </c>
      <c r="BX203" s="96">
        <f ca="1">ABS(-AG203+1/(1/AG203+AN203/100/AP203))*BV203*AW203</f>
        <v>0.21073170731707314</v>
      </c>
      <c r="BY203" s="96">
        <f ca="1">ABS(-AW203*AP203/((AP203/AG203+AN203/100)^2))*(BO203*AN203/100)</f>
        <v>1.7132659131469365E-2</v>
      </c>
      <c r="BZ203" s="202">
        <f ca="1">ABS(AW203*AN203/100/(1/AG203*AP203+AN203/100)^2)*(BR203*AP203)</f>
        <v>1.5419393218322431E-2</v>
      </c>
      <c r="CA203" s="103">
        <f t="shared" ca="1" si="117"/>
        <v>0.225295937367266</v>
      </c>
      <c r="CB203" s="37">
        <f t="shared" ca="1" si="176"/>
        <v>0.21363454618152736</v>
      </c>
      <c r="CC203" s="37">
        <f t="shared" ca="1" si="177"/>
        <v>0.59016393442622939</v>
      </c>
      <c r="CD203" s="37">
        <f t="shared" ca="1" si="178"/>
        <v>4.7980807676929235E-2</v>
      </c>
      <c r="CE203" s="37">
        <f t="shared" ca="1" si="179"/>
        <v>4.3182726909236316E-2</v>
      </c>
      <c r="CF203" s="13">
        <f t="shared" ca="1" si="180"/>
        <v>0.63095173716242514</v>
      </c>
      <c r="CG203" s="101">
        <f ca="1">AG203</f>
        <v>1.2</v>
      </c>
      <c r="CH203" s="101">
        <f>AW203</f>
        <v>0.8</v>
      </c>
      <c r="CI203" s="203">
        <f>IF(CH203&gt;0,AN203,0)</f>
        <v>12</v>
      </c>
      <c r="CJ203" s="102">
        <f>IF(AND(CH203&gt;0,CI203&gt;0),AP203,0)</f>
        <v>0.02</v>
      </c>
      <c r="CK203" s="102">
        <f ca="1">BB203</f>
        <v>0.3570731707317073</v>
      </c>
      <c r="CL203" s="37">
        <f t="shared" ca="1" si="156"/>
        <v>0.3</v>
      </c>
      <c r="CM203" s="37">
        <f t="shared" ca="1" si="157"/>
        <v>0.24999999999999994</v>
      </c>
      <c r="CN203" s="37">
        <f t="shared" ca="1" si="158"/>
        <v>0.16666666666666666</v>
      </c>
      <c r="CO203" s="37">
        <f t="shared" ca="1" si="159"/>
        <v>0.15</v>
      </c>
      <c r="CP203" s="37">
        <f t="shared" ca="1" si="160"/>
        <v>0.63095173716242514</v>
      </c>
      <c r="CQ203" s="95">
        <f t="shared" ca="1" si="161"/>
        <v>0.36</v>
      </c>
      <c r="CR203" s="95">
        <f t="shared" ca="1" si="162"/>
        <v>0.19999999999999996</v>
      </c>
      <c r="CS203" s="95">
        <f t="shared" ca="1" si="163"/>
        <v>2</v>
      </c>
      <c r="CT203" s="103">
        <f t="shared" ca="1" si="164"/>
        <v>3.0000000000000001E-3</v>
      </c>
      <c r="CU203" s="95">
        <f t="shared" ca="1" si="165"/>
        <v>0.22529593736726594</v>
      </c>
      <c r="CV203" s="37">
        <f ca="1">$CB203^2/$CF203^2</f>
        <v>0.11464382937362103</v>
      </c>
      <c r="CW203" s="37">
        <f ca="1">$CD203^2/$CF203^2</f>
        <v>5.7828619897216191E-3</v>
      </c>
      <c r="CX203" s="37">
        <f ca="1">$CE203^2/$CF203^2</f>
        <v>4.6841182116745123E-3</v>
      </c>
      <c r="CY203" s="37">
        <f ca="1">$CC203^2/$CF203^2</f>
        <v>0.87488919042498303</v>
      </c>
      <c r="DA203" s="98" t="s">
        <v>214</v>
      </c>
      <c r="DB203" s="36">
        <f ca="1">OFFSET($A$1,ROW(DB203)-1,MATCH(DA203,$1:$1,0)-1)</f>
        <v>12</v>
      </c>
      <c r="DC203" s="9">
        <f ca="1">BB203</f>
        <v>0.3570731707317073</v>
      </c>
      <c r="DD203" s="9">
        <f ca="1">$DC203+$CA203</f>
        <v>0.58236910809897324</v>
      </c>
      <c r="DE203" s="9">
        <f ca="1">$DC203-$CA203</f>
        <v>0.1317772333644413</v>
      </c>
      <c r="DF203" s="10">
        <f t="shared" ca="1" si="181"/>
        <v>0.63095173716242525</v>
      </c>
    </row>
    <row r="204" spans="1:110" s="8" customFormat="1" ht="32.4" customHeight="1">
      <c r="A204" s="206" t="s">
        <v>640</v>
      </c>
      <c r="B204" s="209" t="s">
        <v>2345</v>
      </c>
      <c r="C204" s="206" t="str">
        <f t="shared" si="151"/>
        <v>Parameter-Variation: Lambda_Insulation_Effective = 0,025 W/(m·K)</v>
      </c>
      <c r="D204" s="206"/>
      <c r="E204" s="206" t="s">
        <v>200</v>
      </c>
      <c r="F204" s="206" t="str">
        <f t="shared" ref="F204:F212" si="182">IFERROR(TEXT(V204,"0,000")&amp;" W/(m·K)","NA")</f>
        <v>0,025 W/(m·K)</v>
      </c>
      <c r="G204" s="206" t="s">
        <v>2170</v>
      </c>
      <c r="H204" s="206" t="s">
        <v>2171</v>
      </c>
      <c r="I204" s="156" t="s">
        <v>80</v>
      </c>
      <c r="J204" s="156" t="s">
        <v>134</v>
      </c>
      <c r="K204" s="156" t="s">
        <v>155</v>
      </c>
      <c r="L204" s="156" t="s">
        <v>66</v>
      </c>
      <c r="M204" s="156" t="s">
        <v>188</v>
      </c>
      <c r="N204" s="7">
        <v>1960</v>
      </c>
      <c r="O204" s="156">
        <v>1</v>
      </c>
      <c r="P204" s="156">
        <v>0</v>
      </c>
      <c r="Q204" s="156" t="s">
        <v>435</v>
      </c>
      <c r="R204" s="156" t="s">
        <v>58</v>
      </c>
      <c r="S204" s="19">
        <v>12</v>
      </c>
      <c r="T204" s="19">
        <v>0.8</v>
      </c>
      <c r="U204" s="19">
        <v>2016</v>
      </c>
      <c r="V204" s="19">
        <f>V203+0.005</f>
        <v>2.5000000000000001E-2</v>
      </c>
      <c r="W204" s="28" t="s">
        <v>59</v>
      </c>
      <c r="X204" s="19" t="e">
        <v>#N/A</v>
      </c>
      <c r="Y204" s="105">
        <f ca="1">IFERROR(OFFSET(Tab.Const.ConstrBorder!$A$1,MATCH(Q204,Tab.Const.ConstrBorder!$A:$A,0)-1,MATCH(Y$87,Tab.Const.ConstrBorder!$1:$1,0)-1),0)</f>
        <v>0</v>
      </c>
      <c r="Z204" s="18">
        <f t="shared" si="110"/>
        <v>1960</v>
      </c>
      <c r="AA204" s="17">
        <f>MATCH(Z204,Tab.Year.Period!$11:$11,1)-3</f>
        <v>5</v>
      </c>
      <c r="AB204" s="17">
        <f>MATCH(AB$88&amp;"."&amp;TEXT(AA204,"00"),Tab.U.Default!$A:$A,0)</f>
        <v>28</v>
      </c>
      <c r="AC204" s="105">
        <f ca="1">OFFSET(Tab.U.Default!$A$1,$AB204-1,MATCH("U_Class_"&amp;IF($J204="TopCeiling","UpperCeiling",$J204)&amp;"_"&amp;AC$87,Tab.U.Default!$1:$1,0)-1)</f>
        <v>1.2</v>
      </c>
      <c r="AD204" s="105">
        <f ca="1">OFFSET(Tab.U.Default!$A$1,$AB204-1,MATCH("U_Class_"&amp;IF($J204="TopCeiling","UpperCeiling",$J204)&amp;"_"&amp;AD$87,Tab.U.Default!$1:$1,0)-1)</f>
        <v>1.2</v>
      </c>
      <c r="AE204" s="105">
        <f ca="1">OFFSET(Tab.U.Default!$A$1,$AB204-1,MATCH("U_Class_"&amp;IF($J204="TopCeiling","UpperCeiling",$J204)&amp;"_"&amp;AE$87,Tab.U.Default!$1:$1,0)-1)</f>
        <v>0.8</v>
      </c>
      <c r="AF204" s="26">
        <f t="shared" ca="1" si="96"/>
        <v>1.2</v>
      </c>
      <c r="AG204" s="26">
        <f t="shared" ca="1" si="155"/>
        <v>1.2</v>
      </c>
      <c r="AH204" s="18" t="str">
        <f t="shared" si="168"/>
        <v>Refurbish</v>
      </c>
      <c r="AI204" s="18" t="str">
        <f t="shared" si="111"/>
        <v>Add</v>
      </c>
      <c r="AJ204" s="18">
        <f t="shared" si="98"/>
        <v>2016</v>
      </c>
      <c r="AK204" s="17">
        <f>MATCH(AJ204,Tab.Year.Period!$11:$11,1)-3</f>
        <v>12</v>
      </c>
      <c r="AL204" s="17">
        <f>MATCH(AL$88&amp;"."&amp;TEXT(AK204,"00"),Tab.Insulation.Default!$A:$A,0)</f>
        <v>23</v>
      </c>
      <c r="AM204" s="20" t="e">
        <f ca="1">IF(ISNA(IF(S204="",#N/A,S204)),OFFSET(Tab.Insulation.Default!$A$1,$AL204-1,MATCH(AM$87&amp;"_"&amp;$K204,Tab.Insulation.Default!$1:$1,0)-1),#N/A)</f>
        <v>#N/A</v>
      </c>
      <c r="AN204" s="27">
        <f t="shared" si="112"/>
        <v>12</v>
      </c>
      <c r="AO204" s="22" t="e">
        <f ca="1">IF(ISNA(IF(V204="",#N/A,V204)),OFFSET(Tab.Insulation.Default!$A$1,$AL204-1,MATCH(AO$87&amp;"_"&amp;$K204,Tab.Insulation.Default!$1:$1,0)-1),#N/A)</f>
        <v>#N/A</v>
      </c>
      <c r="AP204" s="23">
        <f t="shared" si="113"/>
        <v>2.5000000000000001E-2</v>
      </c>
      <c r="AQ204" s="29" t="str">
        <f t="shared" si="169"/>
        <v>Gen.Refurbished.12</v>
      </c>
      <c r="AR204" s="17">
        <f>MATCH(AR$88&amp;"."&amp;AQ204,Tab.Measure.f.Default!$A:$A,0)</f>
        <v>23</v>
      </c>
      <c r="AS204" s="21">
        <f ca="1">OFFSET(Tab.Measure.f.Default!$A$1,AR204-1,MATCH(AS$87&amp;"_"&amp;$J204,Tab.Measure.f.Default!$1:$1,0)-1)</f>
        <v>0.75</v>
      </c>
      <c r="AT204" s="29" t="str">
        <f t="shared" si="170"/>
        <v>MUH.NA.05</v>
      </c>
      <c r="AU204" s="17">
        <f>MATCH(AU$88&amp;"."&amp;AT204,Tab.Measure.f.Default!$A:$A,0)</f>
        <v>40</v>
      </c>
      <c r="AV204" s="21">
        <f ca="1">OFFSET(Tab.Measure.f.Default!$A$1,AU204-1,MATCH(AV$87&amp;"_"&amp;$J204,Tab.Measure.f.Default!$1:$1,0)-1)</f>
        <v>0.37</v>
      </c>
      <c r="AW204" s="30">
        <f t="shared" si="114"/>
        <v>0.8</v>
      </c>
      <c r="AX204" s="9">
        <f t="shared" ca="1" si="171"/>
        <v>0.83333333333333337</v>
      </c>
      <c r="AY204" s="9">
        <f t="shared" si="172"/>
        <v>4.8</v>
      </c>
      <c r="AZ204" s="9">
        <f t="shared" ca="1" si="153"/>
        <v>5.6333333333333329</v>
      </c>
      <c r="BA204" s="9">
        <f t="shared" ca="1" si="154"/>
        <v>0.1775147928994083</v>
      </c>
      <c r="BB204" s="9">
        <f t="shared" ca="1" si="173"/>
        <v>0.38201183431952657</v>
      </c>
      <c r="BC204" s="32" t="str">
        <f t="shared" si="174"/>
        <v>D</v>
      </c>
      <c r="BD204" s="20" t="str">
        <f ca="1">OFFSET(Tab.Uncertainty.Levels!$A$1,MATCH(BD$88,Tab.Uncertainty.Levels!$A:$A,0)-1,MATCH(BD$87&amp;"_"&amp;BC204,Tab.Uncertainty.Levels!$1:$1,0)-1)</f>
        <v>Use of default values; building constructed until 1983</v>
      </c>
      <c r="BE204" s="24">
        <f ca="1">OFFSET(Tab.Uncertainty.Levels!$A$1,MATCH(BE$88,Tab.Uncertainty.Levels!$A:$A,0)-1,MATCH(BE$87&amp;"_"&amp;BC204,Tab.Uncertainty.Levels!$1:$1,0)-1)</f>
        <v>0.3</v>
      </c>
      <c r="BF204" s="32" t="str">
        <f t="shared" si="175"/>
        <v>-</v>
      </c>
      <c r="BG204" s="20" t="e">
        <f ca="1">OFFSET(Tab.Uncertainty.Levels!$A$1,MATCH(BG$88,Tab.Uncertainty.Levels!$A:$A,0)-1,MATCH(BG$87&amp;"_"&amp;BF204,Tab.Uncertainty.Levels!$1:$1,0)-1)</f>
        <v>#N/A</v>
      </c>
      <c r="BH204" s="24" t="e">
        <f ca="1">OFFSET(Tab.Uncertainty.Levels!$A$1,MATCH(BH$88,Tab.Uncertainty.Levels!$A:$A,0)-1,MATCH(BH$87&amp;"_"&amp;BF204,Tab.Uncertainty.Levels!$1:$1,0)-1)</f>
        <v>#N/A</v>
      </c>
      <c r="BI204" s="32" t="str">
        <f t="shared" si="137"/>
        <v>D</v>
      </c>
      <c r="BJ204" s="13">
        <f ca="1">IF(BF204="-",BE204,BH204)</f>
        <v>0.3</v>
      </c>
      <c r="BK204" s="32" t="str">
        <f>IF(OR($L204="NoDataSource",IFERROR(IF($S204="",#N/A,$S204),0)=0),IF(IFERROR(IF(U204="",#N/A,U204),0)=0,"E","D"),IF($L204="DesignDataPlusQA","A",IF($L204="DesignData","B","C")))</f>
        <v>C</v>
      </c>
      <c r="BL204" s="20" t="str">
        <f ca="1">OFFSET(Tab.Uncertainty.Levels!$A$1,MATCH(BL$88,Tab.Uncertainty.Levels!$A:$A,0)-1,MATCH(BL$87&amp;"_"&amp;BK204,Tab.Uncertainty.Levels!$1:$1,0)-1)</f>
        <v>Insulation thickness determined by inspection onsite / record or statement of owner</v>
      </c>
      <c r="BM204" s="24">
        <f ca="1">OFFSET(Tab.Uncertainty.Levels!$A$1,MATCH(BM$88,Tab.Uncertainty.Levels!$A:$A,0)-1,MATCH(BM$87&amp;"_"&amp;BK204,Tab.Uncertainty.Levels!$1:$1,0)-1)</f>
        <v>0.25</v>
      </c>
      <c r="BN204" s="34">
        <f ca="1">OFFSET(Tab.Uncertainty.Levels!$A$1,MATCH(BN$88,Tab.Uncertainty.Levels!$A:$A,0)-1,MATCH(BN$87&amp;"_"&amp;BK204,Tab.Uncertainty.Levels!$1:$1,0)-1)</f>
        <v>2</v>
      </c>
      <c r="BO204" s="13">
        <f ca="1">IFERROR(MIN(BM204,BN204/AN204),0)</f>
        <v>0.16666666666666666</v>
      </c>
      <c r="BP204" s="32" t="str">
        <f>IF(OR($L204="NoDataSource",IFERROR(IF($V204="",#N/A,$V204),0)=0),IF(IFERROR(IF(U204="",#N/A,U204),0)=0,"E","D"),IF($L204="DesignDataPlusQA","A",IF($L204="DesignData","B","C")))</f>
        <v>C</v>
      </c>
      <c r="BQ204" s="20" t="str">
        <f ca="1">OFFSET(Tab.Uncertainty.Levels!$A$1,MATCH(BQ$88,Tab.Uncertainty.Levels!$A:$A,0)-1,MATCH(BQ$87&amp;"_"&amp;BP204,Tab.Uncertainty.Levels!$1:$1,0)-1)</f>
        <v>Thermal conductivity of Insulation determined by inspection onsite / record or statement of owner</v>
      </c>
      <c r="BR204" s="97">
        <f ca="1">OFFSET(Tab.Uncertainty.Levels!$A$1,MATCH(BR$88,Tab.Uncertainty.Levels!$A:$A,0)-1,MATCH(BR$87&amp;"_"&amp;BP204,Tab.Uncertainty.Levels!$1:$1,0)-1)</f>
        <v>0.15</v>
      </c>
      <c r="BS204" s="32" t="str">
        <f>IF(L204="NoDataSource","D",IF(IFERROR(IF($T204="",#N/A,$T204),0)=0,IF(OR(IFERROR(IF($S204="",#N/A,$S204),0)&gt;0,$R204="Refurbish"),"D","E"),IF($L204="DesignDataPlusQA","A",IF($L204="DesignData","B","C"))))</f>
        <v>C</v>
      </c>
      <c r="BT204" s="20" t="str">
        <f ca="1">OFFSET(Tab.Uncertainty.Levels!$A$1,MATCH(BT$88,Tab.Uncertainty.Levels!$A:$A,0)-1,MATCH(BT$87&amp;"_"&amp;BS204,Tab.Uncertainty.Levels!$1:$1,0)-1)</f>
        <v>Insulation fraction determined by inspection onsite / record or statement of owner</v>
      </c>
      <c r="BU204" s="33">
        <f ca="1">OFFSET(Tab.Uncertainty.Levels!$A$1,MATCH(BU$88,Tab.Uncertainty.Levels!$A:$A,0)-1,MATCH(BU$87&amp;"_"&amp;BS204,Tab.Uncertainty.Levels!$1:$1,0)-1)</f>
        <v>0.2</v>
      </c>
      <c r="BV204" s="13">
        <f ca="1">IFERROR(MIN(BU204/AW204,1,(1-AW204)/AW204),0)</f>
        <v>0.24999999999999994</v>
      </c>
      <c r="BW204" s="96">
        <f ca="1">ABS(1+(AW204*(1/(1+AN204/100/AP204*AG204)^2-1)))*BJ204*$AG204</f>
        <v>7.8302300339623945E-2</v>
      </c>
      <c r="BX204" s="96">
        <f ca="1">ABS(-AG204+1/(1/AG204+AN204/100/AP204))*BV204*AW204</f>
        <v>0.20449704142011829</v>
      </c>
      <c r="BY204" s="96">
        <f ca="1">ABS(-AW204*AP204/((AP204/AG204+AN204/100)^2))*(BO204*AN204/100)</f>
        <v>2.0167361086796683E-2</v>
      </c>
      <c r="BZ204" s="202">
        <f ca="1">ABS(AW204*AN204/100/(1/AG204*AP204+AN204/100)^2)*(BR204*AP204)</f>
        <v>1.8150624978117015E-2</v>
      </c>
      <c r="CA204" s="103">
        <f t="shared" ca="1" si="117"/>
        <v>0.22065008005518544</v>
      </c>
      <c r="CB204" s="37">
        <f t="shared" ca="1" si="176"/>
        <v>0.20497349376388552</v>
      </c>
      <c r="CC204" s="37">
        <f t="shared" ca="1" si="177"/>
        <v>0.53531598513011147</v>
      </c>
      <c r="CD204" s="37">
        <f t="shared" ca="1" si="178"/>
        <v>5.2792503464508055E-2</v>
      </c>
      <c r="CE204" s="37">
        <f t="shared" ca="1" si="179"/>
        <v>4.751325311805725E-2</v>
      </c>
      <c r="CF204" s="13">
        <f t="shared" ca="1" si="180"/>
        <v>0.57760011662525312</v>
      </c>
      <c r="CG204" s="101">
        <f ca="1">AG204</f>
        <v>1.2</v>
      </c>
      <c r="CH204" s="101">
        <f>AW204</f>
        <v>0.8</v>
      </c>
      <c r="CI204" s="203">
        <f>IF(CH204&gt;0,AN204,0)</f>
        <v>12</v>
      </c>
      <c r="CJ204" s="102">
        <f>IF(AND(CH204&gt;0,CI204&gt;0),AP204,0)</f>
        <v>2.5000000000000001E-2</v>
      </c>
      <c r="CK204" s="102">
        <f ca="1">BB204</f>
        <v>0.38201183431952657</v>
      </c>
      <c r="CL204" s="37">
        <f t="shared" ca="1" si="156"/>
        <v>0.3</v>
      </c>
      <c r="CM204" s="37">
        <f t="shared" ca="1" si="157"/>
        <v>0.24999999999999994</v>
      </c>
      <c r="CN204" s="37">
        <f t="shared" ca="1" si="158"/>
        <v>0.16666666666666666</v>
      </c>
      <c r="CO204" s="37">
        <f t="shared" ca="1" si="159"/>
        <v>0.15</v>
      </c>
      <c r="CP204" s="37">
        <f t="shared" ca="1" si="160"/>
        <v>0.57760011662525312</v>
      </c>
      <c r="CQ204" s="95">
        <f t="shared" ca="1" si="161"/>
        <v>0.36</v>
      </c>
      <c r="CR204" s="95">
        <f t="shared" ca="1" si="162"/>
        <v>0.19999999999999996</v>
      </c>
      <c r="CS204" s="95">
        <f t="shared" ca="1" si="163"/>
        <v>2</v>
      </c>
      <c r="CT204" s="103">
        <f t="shared" ca="1" si="164"/>
        <v>3.7499999999999999E-3</v>
      </c>
      <c r="CU204" s="95">
        <f t="shared" ca="1" si="165"/>
        <v>0.22065008005518541</v>
      </c>
      <c r="CV204" s="37">
        <f ca="1">$CB204^2/$CF204^2</f>
        <v>0.12593338090217843</v>
      </c>
      <c r="CW204" s="37">
        <f ca="1">$CD204^2/$CF204^2</f>
        <v>8.3539134154944888E-3</v>
      </c>
      <c r="CX204" s="37">
        <f ca="1">$CE204^2/$CF204^2</f>
        <v>6.7666698665505357E-3</v>
      </c>
      <c r="CY204" s="37">
        <f ca="1">$CC204^2/$CF204^2</f>
        <v>0.85894603581577655</v>
      </c>
      <c r="DA204" s="98" t="s">
        <v>214</v>
      </c>
      <c r="DB204" s="36">
        <f ca="1">OFFSET($A$1,ROW(DB204)-1,MATCH(DA204,$1:$1,0)-1)</f>
        <v>12</v>
      </c>
      <c r="DC204" s="9">
        <f ca="1">BB204</f>
        <v>0.38201183431952657</v>
      </c>
      <c r="DD204" s="9">
        <f ca="1">$DC204+$CA204</f>
        <v>0.60266191437471206</v>
      </c>
      <c r="DE204" s="9">
        <f ca="1">$DC204-$CA204</f>
        <v>0.16136175426434113</v>
      </c>
      <c r="DF204" s="10">
        <f t="shared" ca="1" si="181"/>
        <v>0.57760011662525323</v>
      </c>
    </row>
    <row r="205" spans="1:110" s="8" customFormat="1" ht="32.4" customHeight="1">
      <c r="A205" s="206" t="s">
        <v>641</v>
      </c>
      <c r="B205" s="209" t="s">
        <v>2345</v>
      </c>
      <c r="C205" s="206" t="str">
        <f t="shared" si="151"/>
        <v>Parameter-Variation: Lambda_Insulation_Effective = 0,030 W/(m·K)</v>
      </c>
      <c r="D205" s="206"/>
      <c r="E205" s="206" t="s">
        <v>200</v>
      </c>
      <c r="F205" s="206" t="str">
        <f t="shared" si="182"/>
        <v>0,030 W/(m·K)</v>
      </c>
      <c r="G205" s="206" t="s">
        <v>2170</v>
      </c>
      <c r="H205" s="206" t="s">
        <v>2171</v>
      </c>
      <c r="I205" s="156" t="s">
        <v>80</v>
      </c>
      <c r="J205" s="156" t="s">
        <v>134</v>
      </c>
      <c r="K205" s="156" t="s">
        <v>155</v>
      </c>
      <c r="L205" s="156" t="s">
        <v>66</v>
      </c>
      <c r="M205" s="156" t="s">
        <v>188</v>
      </c>
      <c r="N205" s="7">
        <v>1960</v>
      </c>
      <c r="O205" s="156">
        <v>1</v>
      </c>
      <c r="P205" s="156">
        <v>0</v>
      </c>
      <c r="Q205" s="156" t="s">
        <v>435</v>
      </c>
      <c r="R205" s="156" t="s">
        <v>58</v>
      </c>
      <c r="S205" s="19">
        <v>12</v>
      </c>
      <c r="T205" s="19">
        <v>0.8</v>
      </c>
      <c r="U205" s="19">
        <v>2016</v>
      </c>
      <c r="V205" s="19">
        <f t="shared" ref="V205:V209" si="183">V204+0.005</f>
        <v>3.0000000000000002E-2</v>
      </c>
      <c r="W205" s="28" t="s">
        <v>59</v>
      </c>
      <c r="X205" s="19" t="e">
        <v>#N/A</v>
      </c>
      <c r="Y205" s="105">
        <f ca="1">IFERROR(OFFSET(Tab.Const.ConstrBorder!$A$1,MATCH(Q205,Tab.Const.ConstrBorder!$A:$A,0)-1,MATCH(Y$87,Tab.Const.ConstrBorder!$1:$1,0)-1),0)</f>
        <v>0</v>
      </c>
      <c r="Z205" s="18">
        <f t="shared" si="110"/>
        <v>1960</v>
      </c>
      <c r="AA205" s="17">
        <f>MATCH(Z205,Tab.Year.Period!$11:$11,1)-3</f>
        <v>5</v>
      </c>
      <c r="AB205" s="17">
        <f>MATCH(AB$88&amp;"."&amp;TEXT(AA205,"00"),Tab.U.Default!$A:$A,0)</f>
        <v>28</v>
      </c>
      <c r="AC205" s="105">
        <f ca="1">OFFSET(Tab.U.Default!$A$1,$AB205-1,MATCH("U_Class_"&amp;IF($J205="TopCeiling","UpperCeiling",$J205)&amp;"_"&amp;AC$87,Tab.U.Default!$1:$1,0)-1)</f>
        <v>1.2</v>
      </c>
      <c r="AD205" s="105">
        <f ca="1">OFFSET(Tab.U.Default!$A$1,$AB205-1,MATCH("U_Class_"&amp;IF($J205="TopCeiling","UpperCeiling",$J205)&amp;"_"&amp;AD$87,Tab.U.Default!$1:$1,0)-1)</f>
        <v>1.2</v>
      </c>
      <c r="AE205" s="105">
        <f ca="1">OFFSET(Tab.U.Default!$A$1,$AB205-1,MATCH("U_Class_"&amp;IF($J205="TopCeiling","UpperCeiling",$J205)&amp;"_"&amp;AE$87,Tab.U.Default!$1:$1,0)-1)</f>
        <v>0.8</v>
      </c>
      <c r="AF205" s="26">
        <f t="shared" ca="1" si="96"/>
        <v>1.2</v>
      </c>
      <c r="AG205" s="26">
        <f t="shared" ca="1" si="155"/>
        <v>1.2</v>
      </c>
      <c r="AH205" s="18" t="str">
        <f t="shared" si="168"/>
        <v>Refurbish</v>
      </c>
      <c r="AI205" s="18" t="str">
        <f t="shared" si="111"/>
        <v>Add</v>
      </c>
      <c r="AJ205" s="18">
        <f t="shared" si="98"/>
        <v>2016</v>
      </c>
      <c r="AK205" s="17">
        <f>MATCH(AJ205,Tab.Year.Period!$11:$11,1)-3</f>
        <v>12</v>
      </c>
      <c r="AL205" s="17">
        <f>MATCH(AL$88&amp;"."&amp;TEXT(AK205,"00"),Tab.Insulation.Default!$A:$A,0)</f>
        <v>23</v>
      </c>
      <c r="AM205" s="20" t="e">
        <f ca="1">IF(ISNA(IF(S205="",#N/A,S205)),OFFSET(Tab.Insulation.Default!$A$1,$AL205-1,MATCH(AM$87&amp;"_"&amp;$K205,Tab.Insulation.Default!$1:$1,0)-1),#N/A)</f>
        <v>#N/A</v>
      </c>
      <c r="AN205" s="27">
        <f t="shared" si="112"/>
        <v>12</v>
      </c>
      <c r="AO205" s="22" t="e">
        <f ca="1">IF(ISNA(IF(V205="",#N/A,V205)),OFFSET(Tab.Insulation.Default!$A$1,$AL205-1,MATCH(AO$87&amp;"_"&amp;$K205,Tab.Insulation.Default!$1:$1,0)-1),#N/A)</f>
        <v>#N/A</v>
      </c>
      <c r="AP205" s="23">
        <f t="shared" si="113"/>
        <v>3.0000000000000002E-2</v>
      </c>
      <c r="AQ205" s="29" t="str">
        <f t="shared" si="169"/>
        <v>Gen.Refurbished.12</v>
      </c>
      <c r="AR205" s="17">
        <f>MATCH(AR$88&amp;"."&amp;AQ205,Tab.Measure.f.Default!$A:$A,0)</f>
        <v>23</v>
      </c>
      <c r="AS205" s="21">
        <f ca="1">OFFSET(Tab.Measure.f.Default!$A$1,AR205-1,MATCH(AS$87&amp;"_"&amp;$J205,Tab.Measure.f.Default!$1:$1,0)-1)</f>
        <v>0.75</v>
      </c>
      <c r="AT205" s="29" t="str">
        <f t="shared" si="170"/>
        <v>MUH.NA.05</v>
      </c>
      <c r="AU205" s="17">
        <f>MATCH(AU$88&amp;"."&amp;AT205,Tab.Measure.f.Default!$A:$A,0)</f>
        <v>40</v>
      </c>
      <c r="AV205" s="21">
        <f ca="1">OFFSET(Tab.Measure.f.Default!$A$1,AU205-1,MATCH(AV$87&amp;"_"&amp;$J205,Tab.Measure.f.Default!$1:$1,0)-1)</f>
        <v>0.37</v>
      </c>
      <c r="AW205" s="30">
        <f t="shared" si="114"/>
        <v>0.8</v>
      </c>
      <c r="AX205" s="9">
        <f t="shared" ca="1" si="171"/>
        <v>0.83333333333333337</v>
      </c>
      <c r="AY205" s="9">
        <f t="shared" si="172"/>
        <v>3.9999999999999996</v>
      </c>
      <c r="AZ205" s="9">
        <f t="shared" ca="1" si="153"/>
        <v>4.833333333333333</v>
      </c>
      <c r="BA205" s="9">
        <f t="shared" ca="1" si="154"/>
        <v>0.20689655172413796</v>
      </c>
      <c r="BB205" s="9">
        <f t="shared" ca="1" si="173"/>
        <v>0.40551724137931033</v>
      </c>
      <c r="BC205" s="32" t="str">
        <f t="shared" si="174"/>
        <v>D</v>
      </c>
      <c r="BD205" s="20" t="str">
        <f ca="1">OFFSET(Tab.Uncertainty.Levels!$A$1,MATCH(BD$88,Tab.Uncertainty.Levels!$A:$A,0)-1,MATCH(BD$87&amp;"_"&amp;BC205,Tab.Uncertainty.Levels!$1:$1,0)-1)</f>
        <v>Use of default values; building constructed until 1983</v>
      </c>
      <c r="BE205" s="24">
        <f ca="1">OFFSET(Tab.Uncertainty.Levels!$A$1,MATCH(BE$88,Tab.Uncertainty.Levels!$A:$A,0)-1,MATCH(BE$87&amp;"_"&amp;BC205,Tab.Uncertainty.Levels!$1:$1,0)-1)</f>
        <v>0.3</v>
      </c>
      <c r="BF205" s="32" t="str">
        <f t="shared" si="175"/>
        <v>-</v>
      </c>
      <c r="BG205" s="20" t="e">
        <f ca="1">OFFSET(Tab.Uncertainty.Levels!$A$1,MATCH(BG$88,Tab.Uncertainty.Levels!$A:$A,0)-1,MATCH(BG$87&amp;"_"&amp;BF205,Tab.Uncertainty.Levels!$1:$1,0)-1)</f>
        <v>#N/A</v>
      </c>
      <c r="BH205" s="24" t="e">
        <f ca="1">OFFSET(Tab.Uncertainty.Levels!$A$1,MATCH(BH$88,Tab.Uncertainty.Levels!$A:$A,0)-1,MATCH(BH$87&amp;"_"&amp;BF205,Tab.Uncertainty.Levels!$1:$1,0)-1)</f>
        <v>#N/A</v>
      </c>
      <c r="BI205" s="32" t="str">
        <f t="shared" si="137"/>
        <v>D</v>
      </c>
      <c r="BJ205" s="13">
        <f ca="1">IF(BF205="-",BE205,BH205)</f>
        <v>0.3</v>
      </c>
      <c r="BK205" s="32" t="str">
        <f>IF(OR($L205="NoDataSource",IFERROR(IF($S205="",#N/A,$S205),0)=0),IF(IFERROR(IF(U205="",#N/A,U205),0)=0,"E","D"),IF($L205="DesignDataPlusQA","A",IF($L205="DesignData","B","C")))</f>
        <v>C</v>
      </c>
      <c r="BL205" s="20" t="str">
        <f ca="1">OFFSET(Tab.Uncertainty.Levels!$A$1,MATCH(BL$88,Tab.Uncertainty.Levels!$A:$A,0)-1,MATCH(BL$87&amp;"_"&amp;BK205,Tab.Uncertainty.Levels!$1:$1,0)-1)</f>
        <v>Insulation thickness determined by inspection onsite / record or statement of owner</v>
      </c>
      <c r="BM205" s="24">
        <f ca="1">OFFSET(Tab.Uncertainty.Levels!$A$1,MATCH(BM$88,Tab.Uncertainty.Levels!$A:$A,0)-1,MATCH(BM$87&amp;"_"&amp;BK205,Tab.Uncertainty.Levels!$1:$1,0)-1)</f>
        <v>0.25</v>
      </c>
      <c r="BN205" s="34">
        <f ca="1">OFFSET(Tab.Uncertainty.Levels!$A$1,MATCH(BN$88,Tab.Uncertainty.Levels!$A:$A,0)-1,MATCH(BN$87&amp;"_"&amp;BK205,Tab.Uncertainty.Levels!$1:$1,0)-1)</f>
        <v>2</v>
      </c>
      <c r="BO205" s="13">
        <f ca="1">IFERROR(MIN(BM205,BN205/AN205),0)</f>
        <v>0.16666666666666666</v>
      </c>
      <c r="BP205" s="32" t="str">
        <f>IF(OR($L205="NoDataSource",IFERROR(IF($V205="",#N/A,$V205),0)=0),IF(IFERROR(IF(U205="",#N/A,U205),0)=0,"E","D"),IF($L205="DesignDataPlusQA","A",IF($L205="DesignData","B","C")))</f>
        <v>C</v>
      </c>
      <c r="BQ205" s="20" t="str">
        <f ca="1">OFFSET(Tab.Uncertainty.Levels!$A$1,MATCH(BQ$88,Tab.Uncertainty.Levels!$A:$A,0)-1,MATCH(BQ$87&amp;"_"&amp;BP205,Tab.Uncertainty.Levels!$1:$1,0)-1)</f>
        <v>Thermal conductivity of Insulation determined by inspection onsite / record or statement of owner</v>
      </c>
      <c r="BR205" s="97">
        <f ca="1">OFFSET(Tab.Uncertainty.Levels!$A$1,MATCH(BR$88,Tab.Uncertainty.Levels!$A:$A,0)-1,MATCH(BR$87&amp;"_"&amp;BP205,Tab.Uncertainty.Levels!$1:$1,0)-1)</f>
        <v>0.15</v>
      </c>
      <c r="BS205" s="32" t="str">
        <f>IF(L205="NoDataSource","D",IF(IFERROR(IF($T205="",#N/A,$T205),0)=0,IF(OR(IFERROR(IF($S205="",#N/A,$S205),0)&gt;0,$R205="Refurbish"),"D","E"),IF($L205="DesignDataPlusQA","A",IF($L205="DesignData","B","C"))))</f>
        <v>C</v>
      </c>
      <c r="BT205" s="20" t="str">
        <f ca="1">OFFSET(Tab.Uncertainty.Levels!$A$1,MATCH(BT$88,Tab.Uncertainty.Levels!$A:$A,0)-1,MATCH(BT$87&amp;"_"&amp;BS205,Tab.Uncertainty.Levels!$1:$1,0)-1)</f>
        <v>Insulation fraction determined by inspection onsite / record or statement of owner</v>
      </c>
      <c r="BU205" s="33">
        <f ca="1">OFFSET(Tab.Uncertainty.Levels!$A$1,MATCH(BU$88,Tab.Uncertainty.Levels!$A:$A,0)-1,MATCH(BU$87&amp;"_"&amp;BS205,Tab.Uncertainty.Levels!$1:$1,0)-1)</f>
        <v>0.2</v>
      </c>
      <c r="BV205" s="13">
        <f ca="1">IFERROR(MIN(BU205/AW205,1,(1-AW205)/AW205),0)</f>
        <v>0.24999999999999994</v>
      </c>
      <c r="BW205" s="96">
        <f ca="1">ABS(1+(AW205*(1/(1+AN205/100/AP205*AG205)^2-1)))*BJ205*$AG205</f>
        <v>8.0561236623067758E-2</v>
      </c>
      <c r="BX205" s="96">
        <f ca="1">ABS(-AG205+1/(1/AG205+AN205/100/AP205))*BV205*AW205</f>
        <v>0.19862068965517238</v>
      </c>
      <c r="BY205" s="96">
        <f ca="1">ABS(-AW205*AP205/((AP205/AG205+AN205/100)^2))*(BO205*AN205/100)</f>
        <v>2.2829964328180741E-2</v>
      </c>
      <c r="BZ205" s="202">
        <f ca="1">ABS(AW205*AN205/100/(1/AG205*AP205+AN205/100)^2)*(BR205*AP205)</f>
        <v>2.0546967895362669E-2</v>
      </c>
      <c r="CA205" s="103">
        <f t="shared" ca="1" si="117"/>
        <v>0.21652638722856224</v>
      </c>
      <c r="CB205" s="37">
        <f t="shared" ca="1" si="176"/>
        <v>0.19866291344123851</v>
      </c>
      <c r="CC205" s="37">
        <f t="shared" ca="1" si="177"/>
        <v>0.48979591836734687</v>
      </c>
      <c r="CD205" s="37">
        <f t="shared" ca="1" si="178"/>
        <v>5.6298381421534142E-2</v>
      </c>
      <c r="CE205" s="37">
        <f t="shared" ca="1" si="179"/>
        <v>5.066854327938073E-2</v>
      </c>
      <c r="CF205" s="13">
        <f t="shared" ca="1" si="180"/>
        <v>0.53395112496839336</v>
      </c>
      <c r="CG205" s="101">
        <f ca="1">AG205</f>
        <v>1.2</v>
      </c>
      <c r="CH205" s="101">
        <f>AW205</f>
        <v>0.8</v>
      </c>
      <c r="CI205" s="203">
        <f>IF(CH205&gt;0,AN205,0)</f>
        <v>12</v>
      </c>
      <c r="CJ205" s="102">
        <f>IF(AND(CH205&gt;0,CI205&gt;0),AP205,0)</f>
        <v>3.0000000000000002E-2</v>
      </c>
      <c r="CK205" s="102">
        <f ca="1">BB205</f>
        <v>0.40551724137931033</v>
      </c>
      <c r="CL205" s="37">
        <f t="shared" ca="1" si="156"/>
        <v>0.3</v>
      </c>
      <c r="CM205" s="37">
        <f t="shared" ca="1" si="157"/>
        <v>0.24999999999999994</v>
      </c>
      <c r="CN205" s="37">
        <f t="shared" ca="1" si="158"/>
        <v>0.16666666666666666</v>
      </c>
      <c r="CO205" s="37">
        <f t="shared" ca="1" si="159"/>
        <v>0.15</v>
      </c>
      <c r="CP205" s="37">
        <f t="shared" ca="1" si="160"/>
        <v>0.53395112496839336</v>
      </c>
      <c r="CQ205" s="95">
        <f t="shared" ca="1" si="161"/>
        <v>0.36</v>
      </c>
      <c r="CR205" s="95">
        <f t="shared" ca="1" si="162"/>
        <v>0.19999999999999996</v>
      </c>
      <c r="CS205" s="95">
        <f t="shared" ca="1" si="163"/>
        <v>2</v>
      </c>
      <c r="CT205" s="103">
        <f t="shared" ca="1" si="164"/>
        <v>4.5000000000000005E-3</v>
      </c>
      <c r="CU205" s="95">
        <f t="shared" ca="1" si="165"/>
        <v>0.21652638722856227</v>
      </c>
      <c r="CV205" s="37">
        <f ca="1">$CB205^2/$CF205^2</f>
        <v>0.13843011788447276</v>
      </c>
      <c r="CW205" s="37">
        <f ca="1">$CD205^2/$CF205^2</f>
        <v>1.1117030736974551E-2</v>
      </c>
      <c r="CX205" s="37">
        <f ca="1">$CE205^2/$CF205^2</f>
        <v>9.0047948969493846E-3</v>
      </c>
      <c r="CY205" s="37">
        <f ca="1">$CC205^2/$CF205^2</f>
        <v>0.84144805648160315</v>
      </c>
      <c r="DA205" s="98" t="s">
        <v>214</v>
      </c>
      <c r="DB205" s="36">
        <f ca="1">OFFSET($A$1,ROW(DB205)-1,MATCH(DA205,$1:$1,0)-1)</f>
        <v>12</v>
      </c>
      <c r="DC205" s="9">
        <f ca="1">BB205</f>
        <v>0.40551724137931033</v>
      </c>
      <c r="DD205" s="9">
        <f ca="1">$DC205+$CA205</f>
        <v>0.62204362860787255</v>
      </c>
      <c r="DE205" s="9">
        <f ca="1">$DC205-$CA205</f>
        <v>0.18899085415074809</v>
      </c>
      <c r="DF205" s="10">
        <f t="shared" ca="1" si="181"/>
        <v>0.53395112496839325</v>
      </c>
    </row>
    <row r="206" spans="1:110" s="8" customFormat="1" ht="32.4" customHeight="1">
      <c r="A206" s="206" t="s">
        <v>642</v>
      </c>
      <c r="B206" s="209" t="s">
        <v>2345</v>
      </c>
      <c r="C206" s="206" t="str">
        <f t="shared" si="151"/>
        <v>Parameter-Variation: Lambda_Insulation_Effective = 0,035 W/(m·K)</v>
      </c>
      <c r="D206" s="206"/>
      <c r="E206" s="206" t="s">
        <v>200</v>
      </c>
      <c r="F206" s="206" t="str">
        <f t="shared" si="182"/>
        <v>0,035 W/(m·K)</v>
      </c>
      <c r="G206" s="206" t="s">
        <v>2170</v>
      </c>
      <c r="H206" s="206" t="s">
        <v>2171</v>
      </c>
      <c r="I206" s="156" t="s">
        <v>80</v>
      </c>
      <c r="J206" s="156" t="s">
        <v>134</v>
      </c>
      <c r="K206" s="156" t="s">
        <v>155</v>
      </c>
      <c r="L206" s="156" t="s">
        <v>66</v>
      </c>
      <c r="M206" s="156" t="s">
        <v>188</v>
      </c>
      <c r="N206" s="7">
        <v>1960</v>
      </c>
      <c r="O206" s="156">
        <v>1</v>
      </c>
      <c r="P206" s="156">
        <v>0</v>
      </c>
      <c r="Q206" s="156" t="s">
        <v>435</v>
      </c>
      <c r="R206" s="156" t="s">
        <v>58</v>
      </c>
      <c r="S206" s="19">
        <v>12</v>
      </c>
      <c r="T206" s="19">
        <v>0.8</v>
      </c>
      <c r="U206" s="19">
        <v>2016</v>
      </c>
      <c r="V206" s="19">
        <f t="shared" si="183"/>
        <v>3.5000000000000003E-2</v>
      </c>
      <c r="W206" s="28" t="s">
        <v>59</v>
      </c>
      <c r="X206" s="19" t="e">
        <v>#N/A</v>
      </c>
      <c r="Y206" s="105">
        <f ca="1">IFERROR(OFFSET(Tab.Const.ConstrBorder!$A$1,MATCH(Q206,Tab.Const.ConstrBorder!$A:$A,0)-1,MATCH(Y$87,Tab.Const.ConstrBorder!$1:$1,0)-1),0)</f>
        <v>0</v>
      </c>
      <c r="Z206" s="18">
        <f t="shared" si="110"/>
        <v>1960</v>
      </c>
      <c r="AA206" s="17">
        <f>MATCH(Z206,Tab.Year.Period!$11:$11,1)-3</f>
        <v>5</v>
      </c>
      <c r="AB206" s="17">
        <f>MATCH(AB$88&amp;"."&amp;TEXT(AA206,"00"),Tab.U.Default!$A:$A,0)</f>
        <v>28</v>
      </c>
      <c r="AC206" s="105">
        <f ca="1">OFFSET(Tab.U.Default!$A$1,$AB206-1,MATCH("U_Class_"&amp;IF($J206="TopCeiling","UpperCeiling",$J206)&amp;"_"&amp;AC$87,Tab.U.Default!$1:$1,0)-1)</f>
        <v>1.2</v>
      </c>
      <c r="AD206" s="105">
        <f ca="1">OFFSET(Tab.U.Default!$A$1,$AB206-1,MATCH("U_Class_"&amp;IF($J206="TopCeiling","UpperCeiling",$J206)&amp;"_"&amp;AD$87,Tab.U.Default!$1:$1,0)-1)</f>
        <v>1.2</v>
      </c>
      <c r="AE206" s="105">
        <f ca="1">OFFSET(Tab.U.Default!$A$1,$AB206-1,MATCH("U_Class_"&amp;IF($J206="TopCeiling","UpperCeiling",$J206)&amp;"_"&amp;AE$87,Tab.U.Default!$1:$1,0)-1)</f>
        <v>0.8</v>
      </c>
      <c r="AF206" s="26">
        <f t="shared" ca="1" si="96"/>
        <v>1.2</v>
      </c>
      <c r="AG206" s="26">
        <f t="shared" ca="1" si="155"/>
        <v>1.2</v>
      </c>
      <c r="AH206" s="18" t="str">
        <f t="shared" si="168"/>
        <v>Refurbish</v>
      </c>
      <c r="AI206" s="18" t="str">
        <f t="shared" si="111"/>
        <v>Add</v>
      </c>
      <c r="AJ206" s="18">
        <f t="shared" si="98"/>
        <v>2016</v>
      </c>
      <c r="AK206" s="17">
        <f>MATCH(AJ206,Tab.Year.Period!$11:$11,1)-3</f>
        <v>12</v>
      </c>
      <c r="AL206" s="17">
        <f>MATCH(AL$88&amp;"."&amp;TEXT(AK206,"00"),Tab.Insulation.Default!$A:$A,0)</f>
        <v>23</v>
      </c>
      <c r="AM206" s="20" t="e">
        <f ca="1">IF(ISNA(IF(S206="",#N/A,S206)),OFFSET(Tab.Insulation.Default!$A$1,$AL206-1,MATCH(AM$87&amp;"_"&amp;$K206,Tab.Insulation.Default!$1:$1,0)-1),#N/A)</f>
        <v>#N/A</v>
      </c>
      <c r="AN206" s="27">
        <f t="shared" si="112"/>
        <v>12</v>
      </c>
      <c r="AO206" s="22" t="e">
        <f ca="1">IF(ISNA(IF(V206="",#N/A,V206)),OFFSET(Tab.Insulation.Default!$A$1,$AL206-1,MATCH(AO$87&amp;"_"&amp;$K206,Tab.Insulation.Default!$1:$1,0)-1),#N/A)</f>
        <v>#N/A</v>
      </c>
      <c r="AP206" s="23">
        <f t="shared" si="113"/>
        <v>3.5000000000000003E-2</v>
      </c>
      <c r="AQ206" s="29" t="str">
        <f t="shared" si="169"/>
        <v>Gen.Refurbished.12</v>
      </c>
      <c r="AR206" s="17">
        <f>MATCH(AR$88&amp;"."&amp;AQ206,Tab.Measure.f.Default!$A:$A,0)</f>
        <v>23</v>
      </c>
      <c r="AS206" s="21">
        <f ca="1">OFFSET(Tab.Measure.f.Default!$A$1,AR206-1,MATCH(AS$87&amp;"_"&amp;$J206,Tab.Measure.f.Default!$1:$1,0)-1)</f>
        <v>0.75</v>
      </c>
      <c r="AT206" s="29" t="str">
        <f t="shared" si="170"/>
        <v>MUH.NA.05</v>
      </c>
      <c r="AU206" s="17">
        <f>MATCH(AU$88&amp;"."&amp;AT206,Tab.Measure.f.Default!$A:$A,0)</f>
        <v>40</v>
      </c>
      <c r="AV206" s="21">
        <f ca="1">OFFSET(Tab.Measure.f.Default!$A$1,AU206-1,MATCH(AV$87&amp;"_"&amp;$J206,Tab.Measure.f.Default!$1:$1,0)-1)</f>
        <v>0.37</v>
      </c>
      <c r="AW206" s="30">
        <f t="shared" si="114"/>
        <v>0.8</v>
      </c>
      <c r="AX206" s="9">
        <f t="shared" ca="1" si="171"/>
        <v>0.83333333333333337</v>
      </c>
      <c r="AY206" s="9">
        <f t="shared" si="172"/>
        <v>3.4285714285714279</v>
      </c>
      <c r="AZ206" s="9">
        <f t="shared" ca="1" si="153"/>
        <v>4.261904761904761</v>
      </c>
      <c r="BA206" s="9">
        <f t="shared" ca="1" si="154"/>
        <v>0.23463687150837995</v>
      </c>
      <c r="BB206" s="9">
        <f t="shared" ca="1" si="173"/>
        <v>0.42770949720670393</v>
      </c>
      <c r="BC206" s="32" t="str">
        <f t="shared" si="174"/>
        <v>D</v>
      </c>
      <c r="BD206" s="20" t="str">
        <f ca="1">OFFSET(Tab.Uncertainty.Levels!$A$1,MATCH(BD$88,Tab.Uncertainty.Levels!$A:$A,0)-1,MATCH(BD$87&amp;"_"&amp;BC206,Tab.Uncertainty.Levels!$1:$1,0)-1)</f>
        <v>Use of default values; building constructed until 1983</v>
      </c>
      <c r="BE206" s="24">
        <f ca="1">OFFSET(Tab.Uncertainty.Levels!$A$1,MATCH(BE$88,Tab.Uncertainty.Levels!$A:$A,0)-1,MATCH(BE$87&amp;"_"&amp;BC206,Tab.Uncertainty.Levels!$1:$1,0)-1)</f>
        <v>0.3</v>
      </c>
      <c r="BF206" s="32" t="str">
        <f t="shared" si="175"/>
        <v>-</v>
      </c>
      <c r="BG206" s="20" t="e">
        <f ca="1">OFFSET(Tab.Uncertainty.Levels!$A$1,MATCH(BG$88,Tab.Uncertainty.Levels!$A:$A,0)-1,MATCH(BG$87&amp;"_"&amp;BF206,Tab.Uncertainty.Levels!$1:$1,0)-1)</f>
        <v>#N/A</v>
      </c>
      <c r="BH206" s="24" t="e">
        <f ca="1">OFFSET(Tab.Uncertainty.Levels!$A$1,MATCH(BH$88,Tab.Uncertainty.Levels!$A:$A,0)-1,MATCH(BH$87&amp;"_"&amp;BF206,Tab.Uncertainty.Levels!$1:$1,0)-1)</f>
        <v>#N/A</v>
      </c>
      <c r="BI206" s="32" t="str">
        <f t="shared" si="137"/>
        <v>D</v>
      </c>
      <c r="BJ206" s="13">
        <f ca="1">IF(BF206="-",BE206,BH206)</f>
        <v>0.3</v>
      </c>
      <c r="BK206" s="32" t="str">
        <f>IF(OR($L206="NoDataSource",IFERROR(IF($S206="",#N/A,$S206),0)=0),IF(IFERROR(IF(U206="",#N/A,U206),0)=0,"E","D"),IF($L206="DesignDataPlusQA","A",IF($L206="DesignData","B","C")))</f>
        <v>C</v>
      </c>
      <c r="BL206" s="20" t="str">
        <f ca="1">OFFSET(Tab.Uncertainty.Levels!$A$1,MATCH(BL$88,Tab.Uncertainty.Levels!$A:$A,0)-1,MATCH(BL$87&amp;"_"&amp;BK206,Tab.Uncertainty.Levels!$1:$1,0)-1)</f>
        <v>Insulation thickness determined by inspection onsite / record or statement of owner</v>
      </c>
      <c r="BM206" s="24">
        <f ca="1">OFFSET(Tab.Uncertainty.Levels!$A$1,MATCH(BM$88,Tab.Uncertainty.Levels!$A:$A,0)-1,MATCH(BM$87&amp;"_"&amp;BK206,Tab.Uncertainty.Levels!$1:$1,0)-1)</f>
        <v>0.25</v>
      </c>
      <c r="BN206" s="34">
        <f ca="1">OFFSET(Tab.Uncertainty.Levels!$A$1,MATCH(BN$88,Tab.Uncertainty.Levels!$A:$A,0)-1,MATCH(BN$87&amp;"_"&amp;BK206,Tab.Uncertainty.Levels!$1:$1,0)-1)</f>
        <v>2</v>
      </c>
      <c r="BO206" s="13">
        <f ca="1">IFERROR(MIN(BM206,BN206/AN206),0)</f>
        <v>0.16666666666666666</v>
      </c>
      <c r="BP206" s="32" t="str">
        <f>IF(OR($L206="NoDataSource",IFERROR(IF($V206="",#N/A,$V206),0)=0),IF(IFERROR(IF(U206="",#N/A,U206),0)=0,"E","D"),IF($L206="DesignDataPlusQA","A",IF($L206="DesignData","B","C")))</f>
        <v>C</v>
      </c>
      <c r="BQ206" s="20" t="str">
        <f ca="1">OFFSET(Tab.Uncertainty.Levels!$A$1,MATCH(BQ$88,Tab.Uncertainty.Levels!$A:$A,0)-1,MATCH(BQ$87&amp;"_"&amp;BP206,Tab.Uncertainty.Levels!$1:$1,0)-1)</f>
        <v>Thermal conductivity of Insulation determined by inspection onsite / record or statement of owner</v>
      </c>
      <c r="BR206" s="97">
        <f ca="1">OFFSET(Tab.Uncertainty.Levels!$A$1,MATCH(BR$88,Tab.Uncertainty.Levels!$A:$A,0)-1,MATCH(BR$87&amp;"_"&amp;BP206,Tab.Uncertainty.Levels!$1:$1,0)-1)</f>
        <v>0.15</v>
      </c>
      <c r="BS206" s="32" t="str">
        <f>IF(L206="NoDataSource","D",IF(IFERROR(IF($T206="",#N/A,$T206),0)=0,IF(OR(IFERROR(IF($S206="",#N/A,$S206),0)&gt;0,$R206="Refurbish"),"D","E"),IF($L206="DesignDataPlusQA","A",IF($L206="DesignData","B","C"))))</f>
        <v>C</v>
      </c>
      <c r="BT206" s="20" t="str">
        <f ca="1">OFFSET(Tab.Uncertainty.Levels!$A$1,MATCH(BT$88,Tab.Uncertainty.Levels!$A:$A,0)-1,MATCH(BT$87&amp;"_"&amp;BS206,Tab.Uncertainty.Levels!$1:$1,0)-1)</f>
        <v>Insulation fraction determined by inspection onsite / record or statement of owner</v>
      </c>
      <c r="BU206" s="33">
        <f ca="1">OFFSET(Tab.Uncertainty.Levels!$A$1,MATCH(BU$88,Tab.Uncertainty.Levels!$A:$A,0)-1,MATCH(BU$87&amp;"_"&amp;BS206,Tab.Uncertainty.Levels!$1:$1,0)-1)</f>
        <v>0.2</v>
      </c>
      <c r="BV206" s="13">
        <f ca="1">IFERROR(MIN(BU206/AW206,1,(1-AW206)/AW206),0)</f>
        <v>0.24999999999999994</v>
      </c>
      <c r="BW206" s="96">
        <f ca="1">ABS(1+(AW206*(1/(1+AN206/100/AP206*AG206)^2-1)))*BJ206*$AG206</f>
        <v>8.3010892294247976E-2</v>
      </c>
      <c r="BX206" s="96">
        <f ca="1">ABS(-AG206+1/(1/AG206+AN206/100/AP206))*BV206*AW206</f>
        <v>0.19307262569832395</v>
      </c>
      <c r="BY206" s="96">
        <f ca="1">ABS(-AW206*AP206/((AP206/AG206+AN206/100)^2))*(BO206*AN206/100)</f>
        <v>2.516775381542399E-2</v>
      </c>
      <c r="BZ206" s="202">
        <f ca="1">ABS(AW206*AN206/100/(1/AG206*AP206+AN206/100)^2)*(BR206*AP206)</f>
        <v>2.2650978433881596E-2</v>
      </c>
      <c r="CA206" s="103">
        <f t="shared" ca="1" si="117"/>
        <v>0.21287162725374723</v>
      </c>
      <c r="CB206" s="37">
        <f t="shared" ca="1" si="176"/>
        <v>0.19408241536925794</v>
      </c>
      <c r="CC206" s="37">
        <f t="shared" ca="1" si="177"/>
        <v>0.45141065830720983</v>
      </c>
      <c r="CD206" s="37">
        <f t="shared" ca="1" si="178"/>
        <v>5.8843102572634455E-2</v>
      </c>
      <c r="CE206" s="37">
        <f t="shared" ca="1" si="179"/>
        <v>5.2958792315371025E-2</v>
      </c>
      <c r="CF206" s="13">
        <f t="shared" ca="1" si="180"/>
        <v>0.49770142735659284</v>
      </c>
      <c r="CG206" s="101">
        <f ca="1">AG206</f>
        <v>1.2</v>
      </c>
      <c r="CH206" s="101">
        <f>AW206</f>
        <v>0.8</v>
      </c>
      <c r="CI206" s="203">
        <f>IF(CH206&gt;0,AN206,0)</f>
        <v>12</v>
      </c>
      <c r="CJ206" s="102">
        <f>IF(AND(CH206&gt;0,CI206&gt;0),AP206,0)</f>
        <v>3.5000000000000003E-2</v>
      </c>
      <c r="CK206" s="102">
        <f ca="1">BB206</f>
        <v>0.42770949720670393</v>
      </c>
      <c r="CL206" s="37">
        <f t="shared" ca="1" si="156"/>
        <v>0.3</v>
      </c>
      <c r="CM206" s="37">
        <f t="shared" ca="1" si="157"/>
        <v>0.24999999999999994</v>
      </c>
      <c r="CN206" s="37">
        <f t="shared" ca="1" si="158"/>
        <v>0.16666666666666666</v>
      </c>
      <c r="CO206" s="37">
        <f t="shared" ca="1" si="159"/>
        <v>0.15</v>
      </c>
      <c r="CP206" s="37">
        <f t="shared" ca="1" si="160"/>
        <v>0.49770142735659284</v>
      </c>
      <c r="CQ206" s="95">
        <f t="shared" ca="1" si="161"/>
        <v>0.36</v>
      </c>
      <c r="CR206" s="95">
        <f t="shared" ca="1" si="162"/>
        <v>0.19999999999999996</v>
      </c>
      <c r="CS206" s="95">
        <f t="shared" ca="1" si="163"/>
        <v>2</v>
      </c>
      <c r="CT206" s="103">
        <f t="shared" ca="1" si="164"/>
        <v>5.2500000000000003E-3</v>
      </c>
      <c r="CU206" s="95">
        <f t="shared" ca="1" si="165"/>
        <v>0.2128716272537472</v>
      </c>
      <c r="CV206" s="37">
        <f ca="1">$CB206^2/$CF206^2</f>
        <v>0.15206686906062455</v>
      </c>
      <c r="CW206" s="37">
        <f ca="1">$CD206^2/$CF206^2</f>
        <v>1.3978267723517667E-2</v>
      </c>
      <c r="CX206" s="37">
        <f ca="1">$CE206^2/$CF206^2</f>
        <v>1.1322396856049317E-2</v>
      </c>
      <c r="CY206" s="37">
        <f ca="1">$CC206^2/$CF206^2</f>
        <v>0.82263246635980869</v>
      </c>
      <c r="DA206" s="98" t="s">
        <v>214</v>
      </c>
      <c r="DB206" s="36">
        <f ca="1">OFFSET($A$1,ROW(DB206)-1,MATCH(DA206,$1:$1,0)-1)</f>
        <v>12</v>
      </c>
      <c r="DC206" s="9">
        <f ca="1">BB206</f>
        <v>0.42770949720670393</v>
      </c>
      <c r="DD206" s="9">
        <f ca="1">$DC206+$CA206</f>
        <v>0.64058112446045112</v>
      </c>
      <c r="DE206" s="9">
        <f ca="1">$DC206-$CA206</f>
        <v>0.2148378699529567</v>
      </c>
      <c r="DF206" s="10">
        <f t="shared" ca="1" si="181"/>
        <v>0.49770142735659284</v>
      </c>
    </row>
    <row r="207" spans="1:110" s="8" customFormat="1" ht="32.4" customHeight="1">
      <c r="A207" s="206" t="s">
        <v>643</v>
      </c>
      <c r="B207" s="209" t="s">
        <v>2345</v>
      </c>
      <c r="C207" s="206" t="str">
        <f t="shared" si="151"/>
        <v>Parameter-Variation: Lambda_Insulation_Effective = 0,040 W/(m·K)</v>
      </c>
      <c r="D207" s="206"/>
      <c r="E207" s="206" t="s">
        <v>200</v>
      </c>
      <c r="F207" s="206" t="str">
        <f t="shared" si="182"/>
        <v>0,040 W/(m·K)</v>
      </c>
      <c r="G207" s="206" t="s">
        <v>2170</v>
      </c>
      <c r="H207" s="206" t="s">
        <v>2171</v>
      </c>
      <c r="I207" s="156" t="s">
        <v>80</v>
      </c>
      <c r="J207" s="156" t="s">
        <v>134</v>
      </c>
      <c r="K207" s="156" t="s">
        <v>155</v>
      </c>
      <c r="L207" s="156" t="s">
        <v>66</v>
      </c>
      <c r="M207" s="156" t="s">
        <v>188</v>
      </c>
      <c r="N207" s="7">
        <v>1960</v>
      </c>
      <c r="O207" s="156">
        <v>1</v>
      </c>
      <c r="P207" s="156">
        <v>0</v>
      </c>
      <c r="Q207" s="156" t="s">
        <v>435</v>
      </c>
      <c r="R207" s="156" t="s">
        <v>58</v>
      </c>
      <c r="S207" s="19">
        <v>12</v>
      </c>
      <c r="T207" s="19">
        <v>0.8</v>
      </c>
      <c r="U207" s="19">
        <v>2016</v>
      </c>
      <c r="V207" s="19">
        <f t="shared" si="183"/>
        <v>0.04</v>
      </c>
      <c r="W207" s="28" t="s">
        <v>59</v>
      </c>
      <c r="X207" s="19" t="e">
        <v>#N/A</v>
      </c>
      <c r="Y207" s="105">
        <f ca="1">IFERROR(OFFSET(Tab.Const.ConstrBorder!$A$1,MATCH(Q207,Tab.Const.ConstrBorder!$A:$A,0)-1,MATCH(Y$87,Tab.Const.ConstrBorder!$1:$1,0)-1),0)</f>
        <v>0</v>
      </c>
      <c r="Z207" s="18">
        <f t="shared" si="110"/>
        <v>1960</v>
      </c>
      <c r="AA207" s="17">
        <f>MATCH(Z207,Tab.Year.Period!$11:$11,1)-3</f>
        <v>5</v>
      </c>
      <c r="AB207" s="17">
        <f>MATCH(AB$88&amp;"."&amp;TEXT(AA207,"00"),Tab.U.Default!$A:$A,0)</f>
        <v>28</v>
      </c>
      <c r="AC207" s="105">
        <f ca="1">OFFSET(Tab.U.Default!$A$1,$AB207-1,MATCH("U_Class_"&amp;IF($J207="TopCeiling","UpperCeiling",$J207)&amp;"_"&amp;AC$87,Tab.U.Default!$1:$1,0)-1)</f>
        <v>1.2</v>
      </c>
      <c r="AD207" s="105">
        <f ca="1">OFFSET(Tab.U.Default!$A$1,$AB207-1,MATCH("U_Class_"&amp;IF($J207="TopCeiling","UpperCeiling",$J207)&amp;"_"&amp;AD$87,Tab.U.Default!$1:$1,0)-1)</f>
        <v>1.2</v>
      </c>
      <c r="AE207" s="105">
        <f ca="1">OFFSET(Tab.U.Default!$A$1,$AB207-1,MATCH("U_Class_"&amp;IF($J207="TopCeiling","UpperCeiling",$J207)&amp;"_"&amp;AE$87,Tab.U.Default!$1:$1,0)-1)</f>
        <v>0.8</v>
      </c>
      <c r="AF207" s="26">
        <f t="shared" ca="1" si="96"/>
        <v>1.2</v>
      </c>
      <c r="AG207" s="26">
        <f t="shared" ca="1" si="155"/>
        <v>1.2</v>
      </c>
      <c r="AH207" s="18" t="str">
        <f t="shared" si="168"/>
        <v>Refurbish</v>
      </c>
      <c r="AI207" s="18" t="str">
        <f t="shared" si="111"/>
        <v>Add</v>
      </c>
      <c r="AJ207" s="18">
        <f t="shared" si="98"/>
        <v>2016</v>
      </c>
      <c r="AK207" s="17">
        <f>MATCH(AJ207,Tab.Year.Period!$11:$11,1)-3</f>
        <v>12</v>
      </c>
      <c r="AL207" s="17">
        <f>MATCH(AL$88&amp;"."&amp;TEXT(AK207,"00"),Tab.Insulation.Default!$A:$A,0)</f>
        <v>23</v>
      </c>
      <c r="AM207" s="20" t="e">
        <f ca="1">IF(ISNA(IF(S207="",#N/A,S207)),OFFSET(Tab.Insulation.Default!$A$1,$AL207-1,MATCH(AM$87&amp;"_"&amp;$K207,Tab.Insulation.Default!$1:$1,0)-1),#N/A)</f>
        <v>#N/A</v>
      </c>
      <c r="AN207" s="27">
        <f t="shared" si="112"/>
        <v>12</v>
      </c>
      <c r="AO207" s="22" t="e">
        <f ca="1">IF(ISNA(IF(V207="",#N/A,V207)),OFFSET(Tab.Insulation.Default!$A$1,$AL207-1,MATCH(AO$87&amp;"_"&amp;$K207,Tab.Insulation.Default!$1:$1,0)-1),#N/A)</f>
        <v>#N/A</v>
      </c>
      <c r="AP207" s="23">
        <f t="shared" si="113"/>
        <v>0.04</v>
      </c>
      <c r="AQ207" s="29" t="str">
        <f t="shared" si="169"/>
        <v>Gen.Refurbished.12</v>
      </c>
      <c r="AR207" s="17">
        <f>MATCH(AR$88&amp;"."&amp;AQ207,Tab.Measure.f.Default!$A:$A,0)</f>
        <v>23</v>
      </c>
      <c r="AS207" s="21">
        <f ca="1">OFFSET(Tab.Measure.f.Default!$A$1,AR207-1,MATCH(AS$87&amp;"_"&amp;$J207,Tab.Measure.f.Default!$1:$1,0)-1)</f>
        <v>0.75</v>
      </c>
      <c r="AT207" s="29" t="str">
        <f t="shared" si="170"/>
        <v>MUH.NA.05</v>
      </c>
      <c r="AU207" s="17">
        <f>MATCH(AU$88&amp;"."&amp;AT207,Tab.Measure.f.Default!$A:$A,0)</f>
        <v>40</v>
      </c>
      <c r="AV207" s="21">
        <f ca="1">OFFSET(Tab.Measure.f.Default!$A$1,AU207-1,MATCH(AV$87&amp;"_"&amp;$J207,Tab.Measure.f.Default!$1:$1,0)-1)</f>
        <v>0.37</v>
      </c>
      <c r="AW207" s="30">
        <f t="shared" si="114"/>
        <v>0.8</v>
      </c>
      <c r="AX207" s="9">
        <f t="shared" ca="1" si="171"/>
        <v>0.83333333333333337</v>
      </c>
      <c r="AY207" s="9">
        <f t="shared" si="172"/>
        <v>3</v>
      </c>
      <c r="AZ207" s="9">
        <f t="shared" ca="1" si="153"/>
        <v>3.8333333333333335</v>
      </c>
      <c r="BA207" s="9">
        <f t="shared" ca="1" si="154"/>
        <v>0.2608695652173913</v>
      </c>
      <c r="BB207" s="9">
        <f t="shared" ca="1" si="173"/>
        <v>0.448695652173913</v>
      </c>
      <c r="BC207" s="32" t="str">
        <f t="shared" si="174"/>
        <v>D</v>
      </c>
      <c r="BD207" s="20" t="str">
        <f ca="1">OFFSET(Tab.Uncertainty.Levels!$A$1,MATCH(BD$88,Tab.Uncertainty.Levels!$A:$A,0)-1,MATCH(BD$87&amp;"_"&amp;BC207,Tab.Uncertainty.Levels!$1:$1,0)-1)</f>
        <v>Use of default values; building constructed until 1983</v>
      </c>
      <c r="BE207" s="24">
        <f ca="1">OFFSET(Tab.Uncertainty.Levels!$A$1,MATCH(BE$88,Tab.Uncertainty.Levels!$A:$A,0)-1,MATCH(BE$87&amp;"_"&amp;BC207,Tab.Uncertainty.Levels!$1:$1,0)-1)</f>
        <v>0.3</v>
      </c>
      <c r="BF207" s="32" t="str">
        <f t="shared" si="175"/>
        <v>-</v>
      </c>
      <c r="BG207" s="20" t="e">
        <f ca="1">OFFSET(Tab.Uncertainty.Levels!$A$1,MATCH(BG$88,Tab.Uncertainty.Levels!$A:$A,0)-1,MATCH(BG$87&amp;"_"&amp;BF207,Tab.Uncertainty.Levels!$1:$1,0)-1)</f>
        <v>#N/A</v>
      </c>
      <c r="BH207" s="24" t="e">
        <f ca="1">OFFSET(Tab.Uncertainty.Levels!$A$1,MATCH(BH$88,Tab.Uncertainty.Levels!$A:$A,0)-1,MATCH(BH$87&amp;"_"&amp;BF207,Tab.Uncertainty.Levels!$1:$1,0)-1)</f>
        <v>#N/A</v>
      </c>
      <c r="BI207" s="32" t="str">
        <f t="shared" si="137"/>
        <v>D</v>
      </c>
      <c r="BJ207" s="13">
        <f ca="1">IF(BF207="-",BE207,BH207)</f>
        <v>0.3</v>
      </c>
      <c r="BK207" s="32" t="str">
        <f>IF(OR($L207="NoDataSource",IFERROR(IF($S207="",#N/A,$S207),0)=0),IF(IFERROR(IF(U207="",#N/A,U207),0)=0,"E","D"),IF($L207="DesignDataPlusQA","A",IF($L207="DesignData","B","C")))</f>
        <v>C</v>
      </c>
      <c r="BL207" s="20" t="str">
        <f ca="1">OFFSET(Tab.Uncertainty.Levels!$A$1,MATCH(BL$88,Tab.Uncertainty.Levels!$A:$A,0)-1,MATCH(BL$87&amp;"_"&amp;BK207,Tab.Uncertainty.Levels!$1:$1,0)-1)</f>
        <v>Insulation thickness determined by inspection onsite / record or statement of owner</v>
      </c>
      <c r="BM207" s="24">
        <f ca="1">OFFSET(Tab.Uncertainty.Levels!$A$1,MATCH(BM$88,Tab.Uncertainty.Levels!$A:$A,0)-1,MATCH(BM$87&amp;"_"&amp;BK207,Tab.Uncertainty.Levels!$1:$1,0)-1)</f>
        <v>0.25</v>
      </c>
      <c r="BN207" s="34">
        <f ca="1">OFFSET(Tab.Uncertainty.Levels!$A$1,MATCH(BN$88,Tab.Uncertainty.Levels!$A:$A,0)-1,MATCH(BN$87&amp;"_"&amp;BK207,Tab.Uncertainty.Levels!$1:$1,0)-1)</f>
        <v>2</v>
      </c>
      <c r="BO207" s="13">
        <f ca="1">IFERROR(MIN(BM207,BN207/AN207),0)</f>
        <v>0.16666666666666666</v>
      </c>
      <c r="BP207" s="32" t="str">
        <f>IF(OR($L207="NoDataSource",IFERROR(IF($V207="",#N/A,$V207),0)=0),IF(IFERROR(IF(U207="",#N/A,U207),0)=0,"E","D"),IF($L207="DesignDataPlusQA","A",IF($L207="DesignData","B","C")))</f>
        <v>C</v>
      </c>
      <c r="BQ207" s="20" t="str">
        <f ca="1">OFFSET(Tab.Uncertainty.Levels!$A$1,MATCH(BQ$88,Tab.Uncertainty.Levels!$A:$A,0)-1,MATCH(BQ$87&amp;"_"&amp;BP207,Tab.Uncertainty.Levels!$1:$1,0)-1)</f>
        <v>Thermal conductivity of Insulation determined by inspection onsite / record or statement of owner</v>
      </c>
      <c r="BR207" s="97">
        <f ca="1">OFFSET(Tab.Uncertainty.Levels!$A$1,MATCH(BR$88,Tab.Uncertainty.Levels!$A:$A,0)-1,MATCH(BR$87&amp;"_"&amp;BP207,Tab.Uncertainty.Levels!$1:$1,0)-1)</f>
        <v>0.15</v>
      </c>
      <c r="BS207" s="32" t="str">
        <f>IF(L207="NoDataSource","D",IF(IFERROR(IF($T207="",#N/A,$T207),0)=0,IF(OR(IFERROR(IF($S207="",#N/A,$S207),0)&gt;0,$R207="Refurbish"),"D","E"),IF($L207="DesignDataPlusQA","A",IF($L207="DesignData","B","C"))))</f>
        <v>C</v>
      </c>
      <c r="BT207" s="20" t="str">
        <f ca="1">OFFSET(Tab.Uncertainty.Levels!$A$1,MATCH(BT$88,Tab.Uncertainty.Levels!$A:$A,0)-1,MATCH(BT$87&amp;"_"&amp;BS207,Tab.Uncertainty.Levels!$1:$1,0)-1)</f>
        <v>Insulation fraction determined by inspection onsite / record or statement of owner</v>
      </c>
      <c r="BU207" s="33">
        <f ca="1">OFFSET(Tab.Uncertainty.Levels!$A$1,MATCH(BU$88,Tab.Uncertainty.Levels!$A:$A,0)-1,MATCH(BU$87&amp;"_"&amp;BS207,Tab.Uncertainty.Levels!$1:$1,0)-1)</f>
        <v>0.2</v>
      </c>
      <c r="BV207" s="13">
        <f ca="1">IFERROR(MIN(BU207/AW207,1,(1-AW207)/AW207),0)</f>
        <v>0.24999999999999994</v>
      </c>
      <c r="BW207" s="96">
        <f ca="1">ABS(1+(AW207*(1/(1+AN207/100/AP207*AG207)^2-1)))*BJ207*$AG207</f>
        <v>8.5610586011342152E-2</v>
      </c>
      <c r="BX207" s="96">
        <f ca="1">ABS(-AG207+1/(1/AG207+AN207/100/AP207))*BV207*AW207</f>
        <v>0.1878260869565217</v>
      </c>
      <c r="BY207" s="96">
        <f ca="1">ABS(-AW207*AP207/((AP207/AG207+AN207/100)^2))*(BO207*AN207/100)</f>
        <v>2.7221172022684318E-2</v>
      </c>
      <c r="BZ207" s="202">
        <f ca="1">ABS(AW207*AN207/100/(1/AG207*AP207+AN207/100)^2)*(BR207*AP207)</f>
        <v>2.4499054820415891E-2</v>
      </c>
      <c r="CA207" s="103">
        <f t="shared" ca="1" si="117"/>
        <v>0.20964018525079245</v>
      </c>
      <c r="CB207" s="37">
        <f t="shared" ca="1" si="176"/>
        <v>0.19079878665318506</v>
      </c>
      <c r="CC207" s="37">
        <f t="shared" ca="1" si="177"/>
        <v>0.41860465116279066</v>
      </c>
      <c r="CD207" s="37">
        <f t="shared" ca="1" si="178"/>
        <v>6.0667340748230561E-2</v>
      </c>
      <c r="CE207" s="37">
        <f t="shared" ca="1" si="179"/>
        <v>5.4600606673407513E-2</v>
      </c>
      <c r="CF207" s="13">
        <f t="shared" ca="1" si="180"/>
        <v>0.46722134309769642</v>
      </c>
      <c r="CG207" s="101">
        <f ca="1">AG207</f>
        <v>1.2</v>
      </c>
      <c r="CH207" s="101">
        <f>AW207</f>
        <v>0.8</v>
      </c>
      <c r="CI207" s="203">
        <f>IF(CH207&gt;0,AN207,0)</f>
        <v>12</v>
      </c>
      <c r="CJ207" s="102">
        <f>IF(AND(CH207&gt;0,CI207&gt;0),AP207,0)</f>
        <v>0.04</v>
      </c>
      <c r="CK207" s="102">
        <f ca="1">BB207</f>
        <v>0.448695652173913</v>
      </c>
      <c r="CL207" s="37">
        <f t="shared" ca="1" si="156"/>
        <v>0.3</v>
      </c>
      <c r="CM207" s="37">
        <f t="shared" ca="1" si="157"/>
        <v>0.24999999999999994</v>
      </c>
      <c r="CN207" s="37">
        <f t="shared" ca="1" si="158"/>
        <v>0.16666666666666666</v>
      </c>
      <c r="CO207" s="37">
        <f t="shared" ca="1" si="159"/>
        <v>0.15</v>
      </c>
      <c r="CP207" s="37">
        <f t="shared" ca="1" si="160"/>
        <v>0.46722134309769642</v>
      </c>
      <c r="CQ207" s="95">
        <f t="shared" ca="1" si="161"/>
        <v>0.36</v>
      </c>
      <c r="CR207" s="95">
        <f t="shared" ca="1" si="162"/>
        <v>0.19999999999999996</v>
      </c>
      <c r="CS207" s="95">
        <f t="shared" ca="1" si="163"/>
        <v>2</v>
      </c>
      <c r="CT207" s="103">
        <f t="shared" ca="1" si="164"/>
        <v>6.0000000000000001E-3</v>
      </c>
      <c r="CU207" s="95">
        <f t="shared" ca="1" si="165"/>
        <v>0.20964018525079245</v>
      </c>
      <c r="CV207" s="37">
        <f ca="1">$CB207^2/$CF207^2</f>
        <v>0.16676536950760848</v>
      </c>
      <c r="CW207" s="37">
        <f ca="1">$CD207^2/$CF207^2</f>
        <v>1.6860271762290418E-2</v>
      </c>
      <c r="CX207" s="37">
        <f ca="1">$CE207^2/$CF207^2</f>
        <v>1.3656820127455241E-2</v>
      </c>
      <c r="CY207" s="37">
        <f ca="1">$CC207^2/$CF207^2</f>
        <v>0.80271753860264594</v>
      </c>
      <c r="DA207" s="98" t="s">
        <v>214</v>
      </c>
      <c r="DB207" s="36">
        <f ca="1">OFFSET($A$1,ROW(DB207)-1,MATCH(DA207,$1:$1,0)-1)</f>
        <v>12</v>
      </c>
      <c r="DC207" s="9">
        <f ca="1">BB207</f>
        <v>0.448695652173913</v>
      </c>
      <c r="DD207" s="9">
        <f ca="1">$DC207+$CA207</f>
        <v>0.65833583742470547</v>
      </c>
      <c r="DE207" s="9">
        <f ca="1">$DC207-$CA207</f>
        <v>0.23905546692312055</v>
      </c>
      <c r="DF207" s="10">
        <f t="shared" ca="1" si="181"/>
        <v>0.46722134309769647</v>
      </c>
    </row>
    <row r="208" spans="1:110" s="8" customFormat="1" ht="32.4" customHeight="1">
      <c r="A208" s="206" t="s">
        <v>644</v>
      </c>
      <c r="B208" s="209" t="s">
        <v>2345</v>
      </c>
      <c r="C208" s="206" t="str">
        <f t="shared" si="151"/>
        <v>Parameter-Variation: Lambda_Insulation_Effective = 0,045 W/(m·K)</v>
      </c>
      <c r="D208" s="206"/>
      <c r="E208" s="206" t="s">
        <v>200</v>
      </c>
      <c r="F208" s="206" t="str">
        <f t="shared" si="182"/>
        <v>0,045 W/(m·K)</v>
      </c>
      <c r="G208" s="206" t="s">
        <v>2170</v>
      </c>
      <c r="H208" s="206" t="s">
        <v>2171</v>
      </c>
      <c r="I208" s="156" t="s">
        <v>80</v>
      </c>
      <c r="J208" s="156" t="s">
        <v>134</v>
      </c>
      <c r="K208" s="156" t="s">
        <v>155</v>
      </c>
      <c r="L208" s="156" t="s">
        <v>66</v>
      </c>
      <c r="M208" s="156" t="s">
        <v>188</v>
      </c>
      <c r="N208" s="7">
        <v>1960</v>
      </c>
      <c r="O208" s="156">
        <v>1</v>
      </c>
      <c r="P208" s="156">
        <v>0</v>
      </c>
      <c r="Q208" s="156" t="s">
        <v>435</v>
      </c>
      <c r="R208" s="156" t="s">
        <v>58</v>
      </c>
      <c r="S208" s="19">
        <v>12</v>
      </c>
      <c r="T208" s="19">
        <v>0.8</v>
      </c>
      <c r="U208" s="19">
        <v>2016</v>
      </c>
      <c r="V208" s="19">
        <f t="shared" si="183"/>
        <v>4.4999999999999998E-2</v>
      </c>
      <c r="W208" s="28" t="s">
        <v>59</v>
      </c>
      <c r="X208" s="19" t="e">
        <v>#N/A</v>
      </c>
      <c r="Y208" s="105">
        <f ca="1">IFERROR(OFFSET(Tab.Const.ConstrBorder!$A$1,MATCH(Q208,Tab.Const.ConstrBorder!$A:$A,0)-1,MATCH(Y$87,Tab.Const.ConstrBorder!$1:$1,0)-1),0)</f>
        <v>0</v>
      </c>
      <c r="Z208" s="18">
        <f t="shared" si="110"/>
        <v>1960</v>
      </c>
      <c r="AA208" s="17">
        <f>MATCH(Z208,Tab.Year.Period!$11:$11,1)-3</f>
        <v>5</v>
      </c>
      <c r="AB208" s="17">
        <f>MATCH(AB$88&amp;"."&amp;TEXT(AA208,"00"),Tab.U.Default!$A:$A,0)</f>
        <v>28</v>
      </c>
      <c r="AC208" s="105">
        <f ca="1">OFFSET(Tab.U.Default!$A$1,$AB208-1,MATCH("U_Class_"&amp;IF($J208="TopCeiling","UpperCeiling",$J208)&amp;"_"&amp;AC$87,Tab.U.Default!$1:$1,0)-1)</f>
        <v>1.2</v>
      </c>
      <c r="AD208" s="105">
        <f ca="1">OFFSET(Tab.U.Default!$A$1,$AB208-1,MATCH("U_Class_"&amp;IF($J208="TopCeiling","UpperCeiling",$J208)&amp;"_"&amp;AD$87,Tab.U.Default!$1:$1,0)-1)</f>
        <v>1.2</v>
      </c>
      <c r="AE208" s="105">
        <f ca="1">OFFSET(Tab.U.Default!$A$1,$AB208-1,MATCH("U_Class_"&amp;IF($J208="TopCeiling","UpperCeiling",$J208)&amp;"_"&amp;AE$87,Tab.U.Default!$1:$1,0)-1)</f>
        <v>0.8</v>
      </c>
      <c r="AF208" s="26">
        <f t="shared" ca="1" si="96"/>
        <v>1.2</v>
      </c>
      <c r="AG208" s="26">
        <f t="shared" ca="1" si="155"/>
        <v>1.2</v>
      </c>
      <c r="AH208" s="18" t="str">
        <f t="shared" si="168"/>
        <v>Refurbish</v>
      </c>
      <c r="AI208" s="18" t="str">
        <f t="shared" si="111"/>
        <v>Add</v>
      </c>
      <c r="AJ208" s="18">
        <f t="shared" si="98"/>
        <v>2016</v>
      </c>
      <c r="AK208" s="17">
        <f>MATCH(AJ208,Tab.Year.Period!$11:$11,1)-3</f>
        <v>12</v>
      </c>
      <c r="AL208" s="17">
        <f>MATCH(AL$88&amp;"."&amp;TEXT(AK208,"00"),Tab.Insulation.Default!$A:$A,0)</f>
        <v>23</v>
      </c>
      <c r="AM208" s="20" t="e">
        <f ca="1">IF(ISNA(IF(S208="",#N/A,S208)),OFFSET(Tab.Insulation.Default!$A$1,$AL208-1,MATCH(AM$87&amp;"_"&amp;$K208,Tab.Insulation.Default!$1:$1,0)-1),#N/A)</f>
        <v>#N/A</v>
      </c>
      <c r="AN208" s="27">
        <f t="shared" si="112"/>
        <v>12</v>
      </c>
      <c r="AO208" s="22" t="e">
        <f ca="1">IF(ISNA(IF(V208="",#N/A,V208)),OFFSET(Tab.Insulation.Default!$A$1,$AL208-1,MATCH(AO$87&amp;"_"&amp;$K208,Tab.Insulation.Default!$1:$1,0)-1),#N/A)</f>
        <v>#N/A</v>
      </c>
      <c r="AP208" s="23">
        <f t="shared" si="113"/>
        <v>4.4999999999999998E-2</v>
      </c>
      <c r="AQ208" s="29" t="str">
        <f t="shared" si="169"/>
        <v>Gen.Refurbished.12</v>
      </c>
      <c r="AR208" s="17">
        <f>MATCH(AR$88&amp;"."&amp;AQ208,Tab.Measure.f.Default!$A:$A,0)</f>
        <v>23</v>
      </c>
      <c r="AS208" s="21">
        <f ca="1">OFFSET(Tab.Measure.f.Default!$A$1,AR208-1,MATCH(AS$87&amp;"_"&amp;$J208,Tab.Measure.f.Default!$1:$1,0)-1)</f>
        <v>0.75</v>
      </c>
      <c r="AT208" s="29" t="str">
        <f t="shared" si="170"/>
        <v>MUH.NA.05</v>
      </c>
      <c r="AU208" s="17">
        <f>MATCH(AU$88&amp;"."&amp;AT208,Tab.Measure.f.Default!$A:$A,0)</f>
        <v>40</v>
      </c>
      <c r="AV208" s="21">
        <f ca="1">OFFSET(Tab.Measure.f.Default!$A$1,AU208-1,MATCH(AV$87&amp;"_"&amp;$J208,Tab.Measure.f.Default!$1:$1,0)-1)</f>
        <v>0.37</v>
      </c>
      <c r="AW208" s="30">
        <f t="shared" si="114"/>
        <v>0.8</v>
      </c>
      <c r="AX208" s="9">
        <f t="shared" ca="1" si="171"/>
        <v>0.83333333333333337</v>
      </c>
      <c r="AY208" s="9">
        <f t="shared" si="172"/>
        <v>2.6666666666666665</v>
      </c>
      <c r="AZ208" s="9">
        <f t="shared" ca="1" si="153"/>
        <v>3.5</v>
      </c>
      <c r="BA208" s="9">
        <f t="shared" ca="1" si="154"/>
        <v>0.2857142857142857</v>
      </c>
      <c r="BB208" s="9">
        <f t="shared" ca="1" si="173"/>
        <v>0.46857142857142853</v>
      </c>
      <c r="BC208" s="32" t="str">
        <f t="shared" si="174"/>
        <v>D</v>
      </c>
      <c r="BD208" s="20" t="str">
        <f ca="1">OFFSET(Tab.Uncertainty.Levels!$A$1,MATCH(BD$88,Tab.Uncertainty.Levels!$A:$A,0)-1,MATCH(BD$87&amp;"_"&amp;BC208,Tab.Uncertainty.Levels!$1:$1,0)-1)</f>
        <v>Use of default values; building constructed until 1983</v>
      </c>
      <c r="BE208" s="24">
        <f ca="1">OFFSET(Tab.Uncertainty.Levels!$A$1,MATCH(BE$88,Tab.Uncertainty.Levels!$A:$A,0)-1,MATCH(BE$87&amp;"_"&amp;BC208,Tab.Uncertainty.Levels!$1:$1,0)-1)</f>
        <v>0.3</v>
      </c>
      <c r="BF208" s="32" t="str">
        <f t="shared" si="175"/>
        <v>-</v>
      </c>
      <c r="BG208" s="20" t="e">
        <f ca="1">OFFSET(Tab.Uncertainty.Levels!$A$1,MATCH(BG$88,Tab.Uncertainty.Levels!$A:$A,0)-1,MATCH(BG$87&amp;"_"&amp;BF208,Tab.Uncertainty.Levels!$1:$1,0)-1)</f>
        <v>#N/A</v>
      </c>
      <c r="BH208" s="24" t="e">
        <f ca="1">OFFSET(Tab.Uncertainty.Levels!$A$1,MATCH(BH$88,Tab.Uncertainty.Levels!$A:$A,0)-1,MATCH(BH$87&amp;"_"&amp;BF208,Tab.Uncertainty.Levels!$1:$1,0)-1)</f>
        <v>#N/A</v>
      </c>
      <c r="BI208" s="32" t="str">
        <f t="shared" si="137"/>
        <v>D</v>
      </c>
      <c r="BJ208" s="13">
        <f ca="1">IF(BF208="-",BE208,BH208)</f>
        <v>0.3</v>
      </c>
      <c r="BK208" s="32" t="str">
        <f>IF(OR($L208="NoDataSource",IFERROR(IF($S208="",#N/A,$S208),0)=0),IF(IFERROR(IF(U208="",#N/A,U208),0)=0,"E","D"),IF($L208="DesignDataPlusQA","A",IF($L208="DesignData","B","C")))</f>
        <v>C</v>
      </c>
      <c r="BL208" s="20" t="str">
        <f ca="1">OFFSET(Tab.Uncertainty.Levels!$A$1,MATCH(BL$88,Tab.Uncertainty.Levels!$A:$A,0)-1,MATCH(BL$87&amp;"_"&amp;BK208,Tab.Uncertainty.Levels!$1:$1,0)-1)</f>
        <v>Insulation thickness determined by inspection onsite / record or statement of owner</v>
      </c>
      <c r="BM208" s="24">
        <f ca="1">OFFSET(Tab.Uncertainty.Levels!$A$1,MATCH(BM$88,Tab.Uncertainty.Levels!$A:$A,0)-1,MATCH(BM$87&amp;"_"&amp;BK208,Tab.Uncertainty.Levels!$1:$1,0)-1)</f>
        <v>0.25</v>
      </c>
      <c r="BN208" s="34">
        <f ca="1">OFFSET(Tab.Uncertainty.Levels!$A$1,MATCH(BN$88,Tab.Uncertainty.Levels!$A:$A,0)-1,MATCH(BN$87&amp;"_"&amp;BK208,Tab.Uncertainty.Levels!$1:$1,0)-1)</f>
        <v>2</v>
      </c>
      <c r="BO208" s="13">
        <f ca="1">IFERROR(MIN(BM208,BN208/AN208),0)</f>
        <v>0.16666666666666666</v>
      </c>
      <c r="BP208" s="32" t="str">
        <f>IF(OR($L208="NoDataSource",IFERROR(IF($V208="",#N/A,$V208),0)=0),IF(IFERROR(IF(U208="",#N/A,U208),0)=0,"E","D"),IF($L208="DesignDataPlusQA","A",IF($L208="DesignData","B","C")))</f>
        <v>C</v>
      </c>
      <c r="BQ208" s="20" t="str">
        <f ca="1">OFFSET(Tab.Uncertainty.Levels!$A$1,MATCH(BQ$88,Tab.Uncertainty.Levels!$A:$A,0)-1,MATCH(BQ$87&amp;"_"&amp;BP208,Tab.Uncertainty.Levels!$1:$1,0)-1)</f>
        <v>Thermal conductivity of Insulation determined by inspection onsite / record or statement of owner</v>
      </c>
      <c r="BR208" s="97">
        <f ca="1">OFFSET(Tab.Uncertainty.Levels!$A$1,MATCH(BR$88,Tab.Uncertainty.Levels!$A:$A,0)-1,MATCH(BR$87&amp;"_"&amp;BP208,Tab.Uncertainty.Levels!$1:$1,0)-1)</f>
        <v>0.15</v>
      </c>
      <c r="BS208" s="32" t="str">
        <f>IF(L208="NoDataSource","D",IF(IFERROR(IF($T208="",#N/A,$T208),0)=0,IF(OR(IFERROR(IF($S208="",#N/A,$S208),0)&gt;0,$R208="Refurbish"),"D","E"),IF($L208="DesignDataPlusQA","A",IF($L208="DesignData","B","C"))))</f>
        <v>C</v>
      </c>
      <c r="BT208" s="20" t="str">
        <f ca="1">OFFSET(Tab.Uncertainty.Levels!$A$1,MATCH(BT$88,Tab.Uncertainty.Levels!$A:$A,0)-1,MATCH(BT$87&amp;"_"&amp;BS208,Tab.Uncertainty.Levels!$1:$1,0)-1)</f>
        <v>Insulation fraction determined by inspection onsite / record or statement of owner</v>
      </c>
      <c r="BU208" s="33">
        <f ca="1">OFFSET(Tab.Uncertainty.Levels!$A$1,MATCH(BU$88,Tab.Uncertainty.Levels!$A:$A,0)-1,MATCH(BU$87&amp;"_"&amp;BS208,Tab.Uncertainty.Levels!$1:$1,0)-1)</f>
        <v>0.2</v>
      </c>
      <c r="BV208" s="13">
        <f ca="1">IFERROR(MIN(BU208/AW208,1,(1-AW208)/AW208),0)</f>
        <v>0.24999999999999994</v>
      </c>
      <c r="BW208" s="96">
        <f ca="1">ABS(1+(AW208*(1/(1+AN208/100/AP208*AG208)^2-1)))*BJ208*$AG208</f>
        <v>8.832653061224488E-2</v>
      </c>
      <c r="BX208" s="96">
        <f ca="1">ABS(-AG208+1/(1/AG208+AN208/100/AP208))*BV208*AW208</f>
        <v>0.18285714285714283</v>
      </c>
      <c r="BY208" s="96">
        <f ca="1">ABS(-AW208*AP208/((AP208/AG208+AN208/100)^2))*(BO208*AN208/100)</f>
        <v>2.9024943310657591E-2</v>
      </c>
      <c r="BZ208" s="202">
        <f ca="1">ABS(AW208*AN208/100/(1/AG208*AP208+AN208/100)^2)*(BR208*AP208)</f>
        <v>2.6122448979591841E-2</v>
      </c>
      <c r="CA208" s="103">
        <f t="shared" ca="1" si="117"/>
        <v>0.20679250561553639</v>
      </c>
      <c r="CB208" s="37">
        <f t="shared" ca="1" si="176"/>
        <v>0.18850174216027873</v>
      </c>
      <c r="CC208" s="37">
        <f t="shared" ca="1" si="177"/>
        <v>0.39024390243902435</v>
      </c>
      <c r="CD208" s="37">
        <f t="shared" ca="1" si="178"/>
        <v>6.1943476577622912E-2</v>
      </c>
      <c r="CE208" s="37">
        <f t="shared" ca="1" si="179"/>
        <v>5.5749128919860641E-2</v>
      </c>
      <c r="CF208" s="13">
        <f t="shared" ca="1" si="180"/>
        <v>0.44132546930144956</v>
      </c>
      <c r="CG208" s="101">
        <f ca="1">AG208</f>
        <v>1.2</v>
      </c>
      <c r="CH208" s="101">
        <f>AW208</f>
        <v>0.8</v>
      </c>
      <c r="CI208" s="203">
        <f>IF(CH208&gt;0,AN208,0)</f>
        <v>12</v>
      </c>
      <c r="CJ208" s="102">
        <f>IF(AND(CH208&gt;0,CI208&gt;0),AP208,0)</f>
        <v>4.4999999999999998E-2</v>
      </c>
      <c r="CK208" s="102">
        <f ca="1">BB208</f>
        <v>0.46857142857142853</v>
      </c>
      <c r="CL208" s="37">
        <f t="shared" ca="1" si="156"/>
        <v>0.3</v>
      </c>
      <c r="CM208" s="37">
        <f t="shared" ca="1" si="157"/>
        <v>0.24999999999999994</v>
      </c>
      <c r="CN208" s="37">
        <f t="shared" ca="1" si="158"/>
        <v>0.16666666666666666</v>
      </c>
      <c r="CO208" s="37">
        <f t="shared" ca="1" si="159"/>
        <v>0.15</v>
      </c>
      <c r="CP208" s="37">
        <f t="shared" ca="1" si="160"/>
        <v>0.44132546930144956</v>
      </c>
      <c r="CQ208" s="95">
        <f t="shared" ca="1" si="161"/>
        <v>0.36</v>
      </c>
      <c r="CR208" s="95">
        <f t="shared" ca="1" si="162"/>
        <v>0.19999999999999996</v>
      </c>
      <c r="CS208" s="95">
        <f t="shared" ca="1" si="163"/>
        <v>2</v>
      </c>
      <c r="CT208" s="103">
        <f t="shared" ca="1" si="164"/>
        <v>6.7499999999999999E-3</v>
      </c>
      <c r="CU208" s="95">
        <f t="shared" ca="1" si="165"/>
        <v>0.20679250561553633</v>
      </c>
      <c r="CV208" s="37">
        <f ca="1">$CB208^2/$CF208^2</f>
        <v>0.18243692911459608</v>
      </c>
      <c r="CW208" s="37">
        <f ca="1">$CD208^2/$CF208^2</f>
        <v>1.9700314961094072E-2</v>
      </c>
      <c r="CX208" s="37">
        <f ca="1">$CE208^2/$CF208^2</f>
        <v>1.595725511848621E-2</v>
      </c>
      <c r="CY208" s="37">
        <f ca="1">$CC208^2/$CF208^2</f>
        <v>0.78190550080582388</v>
      </c>
      <c r="DA208" s="98" t="s">
        <v>214</v>
      </c>
      <c r="DB208" s="36">
        <f ca="1">OFFSET($A$1,ROW(DB208)-1,MATCH(DA208,$1:$1,0)-1)</f>
        <v>12</v>
      </c>
      <c r="DC208" s="9">
        <f ca="1">BB208</f>
        <v>0.46857142857142853</v>
      </c>
      <c r="DD208" s="9">
        <f ca="1">$DC208+$CA208</f>
        <v>0.67536393418696494</v>
      </c>
      <c r="DE208" s="9">
        <f ca="1">$DC208-$CA208</f>
        <v>0.26177892295589211</v>
      </c>
      <c r="DF208" s="10">
        <f t="shared" ca="1" si="181"/>
        <v>0.44132546930144972</v>
      </c>
    </row>
    <row r="209" spans="1:110" s="8" customFormat="1" ht="32.4" customHeight="1">
      <c r="A209" s="206" t="s">
        <v>645</v>
      </c>
      <c r="B209" s="209" t="s">
        <v>2345</v>
      </c>
      <c r="C209" s="206" t="str">
        <f t="shared" si="151"/>
        <v>Parameter-Variation: Lambda_Insulation_Effective = 0,050 W/(m·K)</v>
      </c>
      <c r="D209" s="206"/>
      <c r="E209" s="206" t="s">
        <v>200</v>
      </c>
      <c r="F209" s="206" t="str">
        <f t="shared" si="182"/>
        <v>0,050 W/(m·K)</v>
      </c>
      <c r="G209" s="206" t="s">
        <v>2170</v>
      </c>
      <c r="H209" s="206" t="s">
        <v>2171</v>
      </c>
      <c r="I209" s="156" t="s">
        <v>80</v>
      </c>
      <c r="J209" s="156" t="s">
        <v>134</v>
      </c>
      <c r="K209" s="156" t="s">
        <v>155</v>
      </c>
      <c r="L209" s="156" t="s">
        <v>66</v>
      </c>
      <c r="M209" s="156" t="s">
        <v>188</v>
      </c>
      <c r="N209" s="7">
        <v>1960</v>
      </c>
      <c r="O209" s="156">
        <v>1</v>
      </c>
      <c r="P209" s="156">
        <v>0</v>
      </c>
      <c r="Q209" s="156" t="s">
        <v>435</v>
      </c>
      <c r="R209" s="156" t="s">
        <v>58</v>
      </c>
      <c r="S209" s="19">
        <v>12</v>
      </c>
      <c r="T209" s="19">
        <v>0.8</v>
      </c>
      <c r="U209" s="19">
        <v>2016</v>
      </c>
      <c r="V209" s="19">
        <f t="shared" si="183"/>
        <v>4.9999999999999996E-2</v>
      </c>
      <c r="W209" s="28" t="s">
        <v>59</v>
      </c>
      <c r="X209" s="19" t="e">
        <v>#N/A</v>
      </c>
      <c r="Y209" s="105">
        <f ca="1">IFERROR(OFFSET(Tab.Const.ConstrBorder!$A$1,MATCH(Q209,Tab.Const.ConstrBorder!$A:$A,0)-1,MATCH(Y$87,Tab.Const.ConstrBorder!$1:$1,0)-1),0)</f>
        <v>0</v>
      </c>
      <c r="Z209" s="18">
        <f t="shared" si="110"/>
        <v>1960</v>
      </c>
      <c r="AA209" s="17">
        <f>MATCH(Z209,Tab.Year.Period!$11:$11,1)-3</f>
        <v>5</v>
      </c>
      <c r="AB209" s="17">
        <f>MATCH(AB$88&amp;"."&amp;TEXT(AA209,"00"),Tab.U.Default!$A:$A,0)</f>
        <v>28</v>
      </c>
      <c r="AC209" s="105">
        <f ca="1">OFFSET(Tab.U.Default!$A$1,$AB209-1,MATCH("U_Class_"&amp;IF($J209="TopCeiling","UpperCeiling",$J209)&amp;"_"&amp;AC$87,Tab.U.Default!$1:$1,0)-1)</f>
        <v>1.2</v>
      </c>
      <c r="AD209" s="105">
        <f ca="1">OFFSET(Tab.U.Default!$A$1,$AB209-1,MATCH("U_Class_"&amp;IF($J209="TopCeiling","UpperCeiling",$J209)&amp;"_"&amp;AD$87,Tab.U.Default!$1:$1,0)-1)</f>
        <v>1.2</v>
      </c>
      <c r="AE209" s="105">
        <f ca="1">OFFSET(Tab.U.Default!$A$1,$AB209-1,MATCH("U_Class_"&amp;IF($J209="TopCeiling","UpperCeiling",$J209)&amp;"_"&amp;AE$87,Tab.U.Default!$1:$1,0)-1)</f>
        <v>0.8</v>
      </c>
      <c r="AF209" s="26">
        <f t="shared" ca="1" si="96"/>
        <v>1.2</v>
      </c>
      <c r="AG209" s="26">
        <f t="shared" ca="1" si="155"/>
        <v>1.2</v>
      </c>
      <c r="AH209" s="18" t="str">
        <f t="shared" si="168"/>
        <v>Refurbish</v>
      </c>
      <c r="AI209" s="18" t="str">
        <f t="shared" si="111"/>
        <v>Add</v>
      </c>
      <c r="AJ209" s="18">
        <f t="shared" si="98"/>
        <v>2016</v>
      </c>
      <c r="AK209" s="17">
        <f>MATCH(AJ209,Tab.Year.Period!$11:$11,1)-3</f>
        <v>12</v>
      </c>
      <c r="AL209" s="17">
        <f>MATCH(AL$88&amp;"."&amp;TEXT(AK209,"00"),Tab.Insulation.Default!$A:$A,0)</f>
        <v>23</v>
      </c>
      <c r="AM209" s="20" t="e">
        <f ca="1">IF(ISNA(IF(S209="",#N/A,S209)),OFFSET(Tab.Insulation.Default!$A$1,$AL209-1,MATCH(AM$87&amp;"_"&amp;$K209,Tab.Insulation.Default!$1:$1,0)-1),#N/A)</f>
        <v>#N/A</v>
      </c>
      <c r="AN209" s="27">
        <f t="shared" si="112"/>
        <v>12</v>
      </c>
      <c r="AO209" s="22" t="e">
        <f ca="1">IF(ISNA(IF(V209="",#N/A,V209)),OFFSET(Tab.Insulation.Default!$A$1,$AL209-1,MATCH(AO$87&amp;"_"&amp;$K209,Tab.Insulation.Default!$1:$1,0)-1),#N/A)</f>
        <v>#N/A</v>
      </c>
      <c r="AP209" s="23">
        <f t="shared" si="113"/>
        <v>4.9999999999999996E-2</v>
      </c>
      <c r="AQ209" s="29" t="str">
        <f t="shared" si="169"/>
        <v>Gen.Refurbished.12</v>
      </c>
      <c r="AR209" s="17">
        <f>MATCH(AR$88&amp;"."&amp;AQ209,Tab.Measure.f.Default!$A:$A,0)</f>
        <v>23</v>
      </c>
      <c r="AS209" s="21">
        <f ca="1">OFFSET(Tab.Measure.f.Default!$A$1,AR209-1,MATCH(AS$87&amp;"_"&amp;$J209,Tab.Measure.f.Default!$1:$1,0)-1)</f>
        <v>0.75</v>
      </c>
      <c r="AT209" s="29" t="str">
        <f t="shared" si="170"/>
        <v>MUH.NA.05</v>
      </c>
      <c r="AU209" s="17">
        <f>MATCH(AU$88&amp;"."&amp;AT209,Tab.Measure.f.Default!$A:$A,0)</f>
        <v>40</v>
      </c>
      <c r="AV209" s="21">
        <f ca="1">OFFSET(Tab.Measure.f.Default!$A$1,AU209-1,MATCH(AV$87&amp;"_"&amp;$J209,Tab.Measure.f.Default!$1:$1,0)-1)</f>
        <v>0.37</v>
      </c>
      <c r="AW209" s="30">
        <f t="shared" si="114"/>
        <v>0.8</v>
      </c>
      <c r="AX209" s="9">
        <f t="shared" ca="1" si="171"/>
        <v>0.83333333333333337</v>
      </c>
      <c r="AY209" s="9">
        <f t="shared" si="172"/>
        <v>2.4</v>
      </c>
      <c r="AZ209" s="9">
        <f t="shared" ca="1" si="153"/>
        <v>3.2333333333333334</v>
      </c>
      <c r="BA209" s="9">
        <f t="shared" ca="1" si="154"/>
        <v>0.30927835051546393</v>
      </c>
      <c r="BB209" s="9">
        <f t="shared" ca="1" si="173"/>
        <v>0.48742268041237108</v>
      </c>
      <c r="BC209" s="32" t="str">
        <f t="shared" si="174"/>
        <v>D</v>
      </c>
      <c r="BD209" s="20" t="str">
        <f ca="1">OFFSET(Tab.Uncertainty.Levels!$A$1,MATCH(BD$88,Tab.Uncertainty.Levels!$A:$A,0)-1,MATCH(BD$87&amp;"_"&amp;BC209,Tab.Uncertainty.Levels!$1:$1,0)-1)</f>
        <v>Use of default values; building constructed until 1983</v>
      </c>
      <c r="BE209" s="24">
        <f ca="1">OFFSET(Tab.Uncertainty.Levels!$A$1,MATCH(BE$88,Tab.Uncertainty.Levels!$A:$A,0)-1,MATCH(BE$87&amp;"_"&amp;BC209,Tab.Uncertainty.Levels!$1:$1,0)-1)</f>
        <v>0.3</v>
      </c>
      <c r="BF209" s="32" t="str">
        <f t="shared" si="175"/>
        <v>-</v>
      </c>
      <c r="BG209" s="20" t="e">
        <f ca="1">OFFSET(Tab.Uncertainty.Levels!$A$1,MATCH(BG$88,Tab.Uncertainty.Levels!$A:$A,0)-1,MATCH(BG$87&amp;"_"&amp;BF209,Tab.Uncertainty.Levels!$1:$1,0)-1)</f>
        <v>#N/A</v>
      </c>
      <c r="BH209" s="24" t="e">
        <f ca="1">OFFSET(Tab.Uncertainty.Levels!$A$1,MATCH(BH$88,Tab.Uncertainty.Levels!$A:$A,0)-1,MATCH(BH$87&amp;"_"&amp;BF209,Tab.Uncertainty.Levels!$1:$1,0)-1)</f>
        <v>#N/A</v>
      </c>
      <c r="BI209" s="32" t="str">
        <f t="shared" si="137"/>
        <v>D</v>
      </c>
      <c r="BJ209" s="13">
        <f ca="1">IF(BF209="-",BE209,BH209)</f>
        <v>0.3</v>
      </c>
      <c r="BK209" s="32" t="str">
        <f>IF(OR($L209="NoDataSource",IFERROR(IF($S209="",#N/A,$S209),0)=0),IF(IFERROR(IF(U209="",#N/A,U209),0)=0,"E","D"),IF($L209="DesignDataPlusQA","A",IF($L209="DesignData","B","C")))</f>
        <v>C</v>
      </c>
      <c r="BL209" s="20" t="str">
        <f ca="1">OFFSET(Tab.Uncertainty.Levels!$A$1,MATCH(BL$88,Tab.Uncertainty.Levels!$A:$A,0)-1,MATCH(BL$87&amp;"_"&amp;BK209,Tab.Uncertainty.Levels!$1:$1,0)-1)</f>
        <v>Insulation thickness determined by inspection onsite / record or statement of owner</v>
      </c>
      <c r="BM209" s="24">
        <f ca="1">OFFSET(Tab.Uncertainty.Levels!$A$1,MATCH(BM$88,Tab.Uncertainty.Levels!$A:$A,0)-1,MATCH(BM$87&amp;"_"&amp;BK209,Tab.Uncertainty.Levels!$1:$1,0)-1)</f>
        <v>0.25</v>
      </c>
      <c r="BN209" s="34">
        <f ca="1">OFFSET(Tab.Uncertainty.Levels!$A$1,MATCH(BN$88,Tab.Uncertainty.Levels!$A:$A,0)-1,MATCH(BN$87&amp;"_"&amp;BK209,Tab.Uncertainty.Levels!$1:$1,0)-1)</f>
        <v>2</v>
      </c>
      <c r="BO209" s="13">
        <f ca="1">IFERROR(MIN(BM209,BN209/AN209),0)</f>
        <v>0.16666666666666666</v>
      </c>
      <c r="BP209" s="32" t="str">
        <f>IF(OR($L209="NoDataSource",IFERROR(IF($V209="",#N/A,$V209),0)=0),IF(IFERROR(IF(U209="",#N/A,U209),0)=0,"E","D"),IF($L209="DesignDataPlusQA","A",IF($L209="DesignData","B","C")))</f>
        <v>C</v>
      </c>
      <c r="BQ209" s="20" t="str">
        <f ca="1">OFFSET(Tab.Uncertainty.Levels!$A$1,MATCH(BQ$88,Tab.Uncertainty.Levels!$A:$A,0)-1,MATCH(BQ$87&amp;"_"&amp;BP209,Tab.Uncertainty.Levels!$1:$1,0)-1)</f>
        <v>Thermal conductivity of Insulation determined by inspection onsite / record or statement of owner</v>
      </c>
      <c r="BR209" s="97">
        <f ca="1">OFFSET(Tab.Uncertainty.Levels!$A$1,MATCH(BR$88,Tab.Uncertainty.Levels!$A:$A,0)-1,MATCH(BR$87&amp;"_"&amp;BP209,Tab.Uncertainty.Levels!$1:$1,0)-1)</f>
        <v>0.15</v>
      </c>
      <c r="BS209" s="32" t="str">
        <f>IF(L209="NoDataSource","D",IF(IFERROR(IF($T209="",#N/A,$T209),0)=0,IF(OR(IFERROR(IF($S209="",#N/A,$S209),0)&gt;0,$R209="Refurbish"),"D","E"),IF($L209="DesignDataPlusQA","A",IF($L209="DesignData","B","C"))))</f>
        <v>C</v>
      </c>
      <c r="BT209" s="20" t="str">
        <f ca="1">OFFSET(Tab.Uncertainty.Levels!$A$1,MATCH(BT$88,Tab.Uncertainty.Levels!$A:$A,0)-1,MATCH(BT$87&amp;"_"&amp;BS209,Tab.Uncertainty.Levels!$1:$1,0)-1)</f>
        <v>Insulation fraction determined by inspection onsite / record or statement of owner</v>
      </c>
      <c r="BU209" s="33">
        <f ca="1">OFFSET(Tab.Uncertainty.Levels!$A$1,MATCH(BU$88,Tab.Uncertainty.Levels!$A:$A,0)-1,MATCH(BU$87&amp;"_"&amp;BS209,Tab.Uncertainty.Levels!$1:$1,0)-1)</f>
        <v>0.2</v>
      </c>
      <c r="BV209" s="13">
        <f ca="1">IFERROR(MIN(BU209/AW209,1,(1-AW209)/AW209),0)</f>
        <v>0.24999999999999994</v>
      </c>
      <c r="BW209" s="96">
        <f ca="1">ABS(1+(AW209*(1/(1+AN209/100/AP209*AG209)^2-1)))*BJ209*$AG209</f>
        <v>9.1130619619513187E-2</v>
      </c>
      <c r="BX209" s="96">
        <f ca="1">ABS(-AG209+1/(1/AG209+AN209/100/AP209))*BV209*AW209</f>
        <v>0.17814432989690718</v>
      </c>
      <c r="BY209" s="96">
        <f ca="1">ABS(-AW209*AP209/((AP209/AG209+AN209/100)^2))*(BO209*AN209/100)</f>
        <v>3.0608991391221179E-2</v>
      </c>
      <c r="BZ209" s="202">
        <f ca="1">ABS(AW209*AN209/100/(1/AG209*AP209+AN209/100)^2)*(BR209*AP209)</f>
        <v>2.754809225209906E-2</v>
      </c>
      <c r="CA209" s="103">
        <f t="shared" ca="1" si="117"/>
        <v>0.20429390555611909</v>
      </c>
      <c r="CB209" s="37">
        <f t="shared" ca="1" si="176"/>
        <v>0.18696425767962732</v>
      </c>
      <c r="CC209" s="37">
        <f t="shared" ca="1" si="177"/>
        <v>0.36548223350253806</v>
      </c>
      <c r="CD209" s="37">
        <f t="shared" ca="1" si="178"/>
        <v>6.2797634622429238E-2</v>
      </c>
      <c r="CE209" s="37">
        <f t="shared" ca="1" si="179"/>
        <v>5.651787116018632E-2</v>
      </c>
      <c r="CF209" s="13">
        <f t="shared" ca="1" si="180"/>
        <v>0.41913089760878924</v>
      </c>
      <c r="CG209" s="101">
        <f ca="1">AG209</f>
        <v>1.2</v>
      </c>
      <c r="CH209" s="101">
        <f>AW209</f>
        <v>0.8</v>
      </c>
      <c r="CI209" s="203">
        <f>IF(CH209&gt;0,AN209,0)</f>
        <v>12</v>
      </c>
      <c r="CJ209" s="102">
        <f>IF(AND(CH209&gt;0,CI209&gt;0),AP209,0)</f>
        <v>4.9999999999999996E-2</v>
      </c>
      <c r="CK209" s="102">
        <f ca="1">BB209</f>
        <v>0.48742268041237108</v>
      </c>
      <c r="CL209" s="37">
        <f t="shared" ca="1" si="156"/>
        <v>0.3</v>
      </c>
      <c r="CM209" s="37">
        <f t="shared" ca="1" si="157"/>
        <v>0.24999999999999994</v>
      </c>
      <c r="CN209" s="37">
        <f t="shared" ca="1" si="158"/>
        <v>0.16666666666666666</v>
      </c>
      <c r="CO209" s="37">
        <f t="shared" ca="1" si="159"/>
        <v>0.15</v>
      </c>
      <c r="CP209" s="37">
        <f t="shared" ca="1" si="160"/>
        <v>0.41913089760878924</v>
      </c>
      <c r="CQ209" s="95">
        <f t="shared" ca="1" si="161"/>
        <v>0.36</v>
      </c>
      <c r="CR209" s="95">
        <f t="shared" ca="1" si="162"/>
        <v>0.19999999999999996</v>
      </c>
      <c r="CS209" s="95">
        <f t="shared" ca="1" si="163"/>
        <v>2</v>
      </c>
      <c r="CT209" s="103">
        <f t="shared" ca="1" si="164"/>
        <v>7.4999999999999989E-3</v>
      </c>
      <c r="CU209" s="95">
        <f t="shared" ca="1" si="165"/>
        <v>0.20429390555611909</v>
      </c>
      <c r="CV209" s="37">
        <f ca="1">$CB209^2/$CF209^2</f>
        <v>0.19898384758018992</v>
      </c>
      <c r="CW209" s="37">
        <f ca="1">$CD209^2/$CF209^2</f>
        <v>2.244849428345096E-2</v>
      </c>
      <c r="CX209" s="37">
        <f ca="1">$CE209^2/$CF209^2</f>
        <v>1.8183280369595281E-2</v>
      </c>
      <c r="CY209" s="37">
        <f ca="1">$CC209^2/$CF209^2</f>
        <v>0.76038437776676393</v>
      </c>
      <c r="DA209" s="98" t="s">
        <v>214</v>
      </c>
      <c r="DB209" s="36">
        <f ca="1">OFFSET($A$1,ROW(DB209)-1,MATCH(DA209,$1:$1,0)-1)</f>
        <v>12</v>
      </c>
      <c r="DC209" s="9">
        <f ca="1">BB209</f>
        <v>0.48742268041237108</v>
      </c>
      <c r="DD209" s="9">
        <f ca="1">$DC209+$CA209</f>
        <v>0.69171658596849017</v>
      </c>
      <c r="DE209" s="9">
        <f ca="1">$DC209-$CA209</f>
        <v>0.28312877485625199</v>
      </c>
      <c r="DF209" s="10">
        <f t="shared" ca="1" si="181"/>
        <v>0.41913089760878924</v>
      </c>
    </row>
    <row r="210" spans="1:110" s="8" customFormat="1" ht="32.4" customHeight="1">
      <c r="A210" s="206" t="s">
        <v>646</v>
      </c>
      <c r="B210" s="209" t="s">
        <v>2345</v>
      </c>
      <c r="C210" s="206" t="str">
        <f t="shared" si="151"/>
        <v>Parameter-Variation: Lambda_Insulation_Effective = 0,060 W/(m·K)</v>
      </c>
      <c r="D210" s="206"/>
      <c r="E210" s="206" t="s">
        <v>200</v>
      </c>
      <c r="F210" s="206" t="str">
        <f t="shared" si="182"/>
        <v>0,060 W/(m·K)</v>
      </c>
      <c r="G210" s="206" t="s">
        <v>2170</v>
      </c>
      <c r="H210" s="206" t="s">
        <v>2171</v>
      </c>
      <c r="I210" s="156" t="s">
        <v>80</v>
      </c>
      <c r="J210" s="156" t="s">
        <v>134</v>
      </c>
      <c r="K210" s="156" t="s">
        <v>155</v>
      </c>
      <c r="L210" s="156" t="s">
        <v>66</v>
      </c>
      <c r="M210" s="156" t="s">
        <v>188</v>
      </c>
      <c r="N210" s="7">
        <v>1960</v>
      </c>
      <c r="O210" s="156">
        <v>1</v>
      </c>
      <c r="P210" s="156">
        <v>0</v>
      </c>
      <c r="Q210" s="156" t="s">
        <v>435</v>
      </c>
      <c r="R210" s="156" t="s">
        <v>58</v>
      </c>
      <c r="S210" s="19">
        <v>12</v>
      </c>
      <c r="T210" s="19">
        <v>0.8</v>
      </c>
      <c r="U210" s="19">
        <v>2016</v>
      </c>
      <c r="V210" s="19">
        <f t="shared" ref="V210:V212" si="184">V209+0.01</f>
        <v>0.06</v>
      </c>
      <c r="W210" s="28" t="s">
        <v>59</v>
      </c>
      <c r="X210" s="19" t="e">
        <v>#N/A</v>
      </c>
      <c r="Y210" s="105">
        <f ca="1">IFERROR(OFFSET(Tab.Const.ConstrBorder!$A$1,MATCH(Q210,Tab.Const.ConstrBorder!$A:$A,0)-1,MATCH(Y$87,Tab.Const.ConstrBorder!$1:$1,0)-1),0)</f>
        <v>0</v>
      </c>
      <c r="Z210" s="18">
        <f t="shared" si="110"/>
        <v>1960</v>
      </c>
      <c r="AA210" s="17">
        <f>MATCH(Z210,Tab.Year.Period!$11:$11,1)-3</f>
        <v>5</v>
      </c>
      <c r="AB210" s="17">
        <f>MATCH(AB$88&amp;"."&amp;TEXT(AA210,"00"),Tab.U.Default!$A:$A,0)</f>
        <v>28</v>
      </c>
      <c r="AC210" s="105">
        <f ca="1">OFFSET(Tab.U.Default!$A$1,$AB210-1,MATCH("U_Class_"&amp;IF($J210="TopCeiling","UpperCeiling",$J210)&amp;"_"&amp;AC$87,Tab.U.Default!$1:$1,0)-1)</f>
        <v>1.2</v>
      </c>
      <c r="AD210" s="105">
        <f ca="1">OFFSET(Tab.U.Default!$A$1,$AB210-1,MATCH("U_Class_"&amp;IF($J210="TopCeiling","UpperCeiling",$J210)&amp;"_"&amp;AD$87,Tab.U.Default!$1:$1,0)-1)</f>
        <v>1.2</v>
      </c>
      <c r="AE210" s="105">
        <f ca="1">OFFSET(Tab.U.Default!$A$1,$AB210-1,MATCH("U_Class_"&amp;IF($J210="TopCeiling","UpperCeiling",$J210)&amp;"_"&amp;AE$87,Tab.U.Default!$1:$1,0)-1)</f>
        <v>0.8</v>
      </c>
      <c r="AF210" s="26">
        <f t="shared" ca="1" si="96"/>
        <v>1.2</v>
      </c>
      <c r="AG210" s="26">
        <f t="shared" ca="1" si="155"/>
        <v>1.2</v>
      </c>
      <c r="AH210" s="18" t="str">
        <f t="shared" si="168"/>
        <v>Refurbish</v>
      </c>
      <c r="AI210" s="18" t="str">
        <f t="shared" si="111"/>
        <v>Add</v>
      </c>
      <c r="AJ210" s="18">
        <f t="shared" si="98"/>
        <v>2016</v>
      </c>
      <c r="AK210" s="17">
        <f>MATCH(AJ210,Tab.Year.Period!$11:$11,1)-3</f>
        <v>12</v>
      </c>
      <c r="AL210" s="17">
        <f>MATCH(AL$88&amp;"."&amp;TEXT(AK210,"00"),Tab.Insulation.Default!$A:$A,0)</f>
        <v>23</v>
      </c>
      <c r="AM210" s="20" t="e">
        <f ca="1">IF(ISNA(IF(S210="",#N/A,S210)),OFFSET(Tab.Insulation.Default!$A$1,$AL210-1,MATCH(AM$87&amp;"_"&amp;$K210,Tab.Insulation.Default!$1:$1,0)-1),#N/A)</f>
        <v>#N/A</v>
      </c>
      <c r="AN210" s="27">
        <f t="shared" si="112"/>
        <v>12</v>
      </c>
      <c r="AO210" s="22" t="e">
        <f ca="1">IF(ISNA(IF(V210="",#N/A,V210)),OFFSET(Tab.Insulation.Default!$A$1,$AL210-1,MATCH(AO$87&amp;"_"&amp;$K210,Tab.Insulation.Default!$1:$1,0)-1),#N/A)</f>
        <v>#N/A</v>
      </c>
      <c r="AP210" s="23">
        <f t="shared" si="113"/>
        <v>0.06</v>
      </c>
      <c r="AQ210" s="29" t="str">
        <f t="shared" si="169"/>
        <v>Gen.Refurbished.12</v>
      </c>
      <c r="AR210" s="17">
        <f>MATCH(AR$88&amp;"."&amp;AQ210,Tab.Measure.f.Default!$A:$A,0)</f>
        <v>23</v>
      </c>
      <c r="AS210" s="21">
        <f ca="1">OFFSET(Tab.Measure.f.Default!$A$1,AR210-1,MATCH(AS$87&amp;"_"&amp;$J210,Tab.Measure.f.Default!$1:$1,0)-1)</f>
        <v>0.75</v>
      </c>
      <c r="AT210" s="29" t="str">
        <f t="shared" si="170"/>
        <v>MUH.NA.05</v>
      </c>
      <c r="AU210" s="17">
        <f>MATCH(AU$88&amp;"."&amp;AT210,Tab.Measure.f.Default!$A:$A,0)</f>
        <v>40</v>
      </c>
      <c r="AV210" s="21">
        <f ca="1">OFFSET(Tab.Measure.f.Default!$A$1,AU210-1,MATCH(AV$87&amp;"_"&amp;$J210,Tab.Measure.f.Default!$1:$1,0)-1)</f>
        <v>0.37</v>
      </c>
      <c r="AW210" s="30">
        <f t="shared" si="114"/>
        <v>0.8</v>
      </c>
      <c r="AX210" s="9">
        <f t="shared" ca="1" si="171"/>
        <v>0.83333333333333337</v>
      </c>
      <c r="AY210" s="9">
        <f t="shared" si="172"/>
        <v>2</v>
      </c>
      <c r="AZ210" s="9">
        <f t="shared" ca="1" si="153"/>
        <v>2.8333333333333335</v>
      </c>
      <c r="BA210" s="9">
        <f t="shared" ca="1" si="154"/>
        <v>0.3529411764705882</v>
      </c>
      <c r="BB210" s="9">
        <f t="shared" ca="1" si="173"/>
        <v>0.52235294117647046</v>
      </c>
      <c r="BC210" s="32" t="str">
        <f t="shared" si="174"/>
        <v>D</v>
      </c>
      <c r="BD210" s="20" t="str">
        <f ca="1">OFFSET(Tab.Uncertainty.Levels!$A$1,MATCH(BD$88,Tab.Uncertainty.Levels!$A:$A,0)-1,MATCH(BD$87&amp;"_"&amp;BC210,Tab.Uncertainty.Levels!$1:$1,0)-1)</f>
        <v>Use of default values; building constructed until 1983</v>
      </c>
      <c r="BE210" s="24">
        <f ca="1">OFFSET(Tab.Uncertainty.Levels!$A$1,MATCH(BE$88,Tab.Uncertainty.Levels!$A:$A,0)-1,MATCH(BE$87&amp;"_"&amp;BC210,Tab.Uncertainty.Levels!$1:$1,0)-1)</f>
        <v>0.3</v>
      </c>
      <c r="BF210" s="32" t="str">
        <f t="shared" si="175"/>
        <v>-</v>
      </c>
      <c r="BG210" s="20" t="e">
        <f ca="1">OFFSET(Tab.Uncertainty.Levels!$A$1,MATCH(BG$88,Tab.Uncertainty.Levels!$A:$A,0)-1,MATCH(BG$87&amp;"_"&amp;BF210,Tab.Uncertainty.Levels!$1:$1,0)-1)</f>
        <v>#N/A</v>
      </c>
      <c r="BH210" s="24" t="e">
        <f ca="1">OFFSET(Tab.Uncertainty.Levels!$A$1,MATCH(BH$88,Tab.Uncertainty.Levels!$A:$A,0)-1,MATCH(BH$87&amp;"_"&amp;BF210,Tab.Uncertainty.Levels!$1:$1,0)-1)</f>
        <v>#N/A</v>
      </c>
      <c r="BI210" s="32" t="str">
        <f t="shared" si="137"/>
        <v>D</v>
      </c>
      <c r="BJ210" s="13">
        <f ca="1">IF(BF210="-",BE210,BH210)</f>
        <v>0.3</v>
      </c>
      <c r="BK210" s="32" t="str">
        <f>IF(OR($L210="NoDataSource",IFERROR(IF($S210="",#N/A,$S210),0)=0),IF(IFERROR(IF(U210="",#N/A,U210),0)=0,"E","D"),IF($L210="DesignDataPlusQA","A",IF($L210="DesignData","B","C")))</f>
        <v>C</v>
      </c>
      <c r="BL210" s="20" t="str">
        <f ca="1">OFFSET(Tab.Uncertainty.Levels!$A$1,MATCH(BL$88,Tab.Uncertainty.Levels!$A:$A,0)-1,MATCH(BL$87&amp;"_"&amp;BK210,Tab.Uncertainty.Levels!$1:$1,0)-1)</f>
        <v>Insulation thickness determined by inspection onsite / record or statement of owner</v>
      </c>
      <c r="BM210" s="24">
        <f ca="1">OFFSET(Tab.Uncertainty.Levels!$A$1,MATCH(BM$88,Tab.Uncertainty.Levels!$A:$A,0)-1,MATCH(BM$87&amp;"_"&amp;BK210,Tab.Uncertainty.Levels!$1:$1,0)-1)</f>
        <v>0.25</v>
      </c>
      <c r="BN210" s="34">
        <f ca="1">OFFSET(Tab.Uncertainty.Levels!$A$1,MATCH(BN$88,Tab.Uncertainty.Levels!$A:$A,0)-1,MATCH(BN$87&amp;"_"&amp;BK210,Tab.Uncertainty.Levels!$1:$1,0)-1)</f>
        <v>2</v>
      </c>
      <c r="BO210" s="13">
        <f ca="1">IFERROR(MIN(BM210,BN210/AN210),0)</f>
        <v>0.16666666666666666</v>
      </c>
      <c r="BP210" s="32" t="str">
        <f>IF(OR($L210="NoDataSource",IFERROR(IF($V210="",#N/A,$V210),0)=0),IF(IFERROR(IF(U210="",#N/A,U210),0)=0,"E","D"),IF($L210="DesignDataPlusQA","A",IF($L210="DesignData","B","C")))</f>
        <v>C</v>
      </c>
      <c r="BQ210" s="20" t="str">
        <f ca="1">OFFSET(Tab.Uncertainty.Levels!$A$1,MATCH(BQ$88,Tab.Uncertainty.Levels!$A:$A,0)-1,MATCH(BQ$87&amp;"_"&amp;BP210,Tab.Uncertainty.Levels!$1:$1,0)-1)</f>
        <v>Thermal conductivity of Insulation determined by inspection onsite / record or statement of owner</v>
      </c>
      <c r="BR210" s="97">
        <f ca="1">OFFSET(Tab.Uncertainty.Levels!$A$1,MATCH(BR$88,Tab.Uncertainty.Levels!$A:$A,0)-1,MATCH(BR$87&amp;"_"&amp;BP210,Tab.Uncertainty.Levels!$1:$1,0)-1)</f>
        <v>0.15</v>
      </c>
      <c r="BS210" s="32" t="str">
        <f>IF(L210="NoDataSource","D",IF(IFERROR(IF($T210="",#N/A,$T210),0)=0,IF(OR(IFERROR(IF($S210="",#N/A,$S210),0)&gt;0,$R210="Refurbish"),"D","E"),IF($L210="DesignDataPlusQA","A",IF($L210="DesignData","B","C"))))</f>
        <v>C</v>
      </c>
      <c r="BT210" s="20" t="str">
        <f ca="1">OFFSET(Tab.Uncertainty.Levels!$A$1,MATCH(BT$88,Tab.Uncertainty.Levels!$A:$A,0)-1,MATCH(BT$87&amp;"_"&amp;BS210,Tab.Uncertainty.Levels!$1:$1,0)-1)</f>
        <v>Insulation fraction determined by inspection onsite / record or statement of owner</v>
      </c>
      <c r="BU210" s="33">
        <f ca="1">OFFSET(Tab.Uncertainty.Levels!$A$1,MATCH(BU$88,Tab.Uncertainty.Levels!$A:$A,0)-1,MATCH(BU$87&amp;"_"&amp;BS210,Tab.Uncertainty.Levels!$1:$1,0)-1)</f>
        <v>0.2</v>
      </c>
      <c r="BV210" s="13">
        <f ca="1">IFERROR(MIN(BU210/AW210,1,(1-AW210)/AW210),0)</f>
        <v>0.24999999999999994</v>
      </c>
      <c r="BW210" s="96">
        <f ca="1">ABS(1+(AW210*(1/(1+AN210/100/AP210*AG210)^2-1)))*BJ210*$AG210</f>
        <v>9.6913494809688541E-2</v>
      </c>
      <c r="BX210" s="96">
        <f ca="1">ABS(-AG210+1/(1/AG210+AN210/100/AP210))*BV210*AW210</f>
        <v>0.16941176470588232</v>
      </c>
      <c r="BY210" s="96">
        <f ca="1">ABS(-AW210*AP210/((AP210/AG210+AN210/100)^2))*(BO210*AN210/100)</f>
        <v>3.3217993079584784E-2</v>
      </c>
      <c r="BZ210" s="202">
        <f ca="1">ABS(AW210*AN210/100/(1/AG210*AP210+AN210/100)^2)*(BR210*AP210)</f>
        <v>2.9896193771626306E-2</v>
      </c>
      <c r="CA210" s="103">
        <f t="shared" ca="1" si="117"/>
        <v>0.20022434657966728</v>
      </c>
      <c r="CB210" s="37">
        <f t="shared" ca="1" si="176"/>
        <v>0.18553259141494433</v>
      </c>
      <c r="CC210" s="37">
        <f t="shared" ca="1" si="177"/>
        <v>0.32432432432432434</v>
      </c>
      <c r="CD210" s="37">
        <f t="shared" ca="1" si="178"/>
        <v>6.3593004769475395E-2</v>
      </c>
      <c r="CE210" s="37">
        <f t="shared" ca="1" si="179"/>
        <v>5.7233704292527852E-2</v>
      </c>
      <c r="CF210" s="13">
        <f t="shared" ca="1" si="180"/>
        <v>0.38331237520882261</v>
      </c>
      <c r="CG210" s="101">
        <f ca="1">AG210</f>
        <v>1.2</v>
      </c>
      <c r="CH210" s="101">
        <f>AW210</f>
        <v>0.8</v>
      </c>
      <c r="CI210" s="203">
        <f>IF(CH210&gt;0,AN210,0)</f>
        <v>12</v>
      </c>
      <c r="CJ210" s="102">
        <f>IF(AND(CH210&gt;0,CI210&gt;0),AP210,0)</f>
        <v>0.06</v>
      </c>
      <c r="CK210" s="102">
        <f ca="1">BB210</f>
        <v>0.52235294117647046</v>
      </c>
      <c r="CL210" s="37">
        <f t="shared" ca="1" si="156"/>
        <v>0.3</v>
      </c>
      <c r="CM210" s="37">
        <f t="shared" ca="1" si="157"/>
        <v>0.24999999999999994</v>
      </c>
      <c r="CN210" s="37">
        <f t="shared" ca="1" si="158"/>
        <v>0.16666666666666666</v>
      </c>
      <c r="CO210" s="37">
        <f t="shared" ca="1" si="159"/>
        <v>0.15</v>
      </c>
      <c r="CP210" s="37">
        <f t="shared" ca="1" si="160"/>
        <v>0.38331237520882261</v>
      </c>
      <c r="CQ210" s="95">
        <f t="shared" ca="1" si="161"/>
        <v>0.36</v>
      </c>
      <c r="CR210" s="95">
        <f t="shared" ca="1" si="162"/>
        <v>0.19999999999999996</v>
      </c>
      <c r="CS210" s="95">
        <f t="shared" ca="1" si="163"/>
        <v>2</v>
      </c>
      <c r="CT210" s="103">
        <f t="shared" ca="1" si="164"/>
        <v>8.9999999999999993E-3</v>
      </c>
      <c r="CU210" s="95">
        <f t="shared" ca="1" si="165"/>
        <v>0.20022434657966728</v>
      </c>
      <c r="CV210" s="37">
        <f ca="1">$CB210^2/$CF210^2</f>
        <v>0.23427974352362399</v>
      </c>
      <c r="CW210" s="37">
        <f ca="1">$CD210^2/$CF210^2</f>
        <v>2.7524092612378755E-2</v>
      </c>
      <c r="CX210" s="37">
        <f ca="1">$CE210^2/$CF210^2</f>
        <v>2.2294515016026795E-2</v>
      </c>
      <c r="CY210" s="37">
        <f ca="1">$CC210^2/$CF210^2</f>
        <v>0.7159016488479707</v>
      </c>
      <c r="DA210" s="98" t="s">
        <v>214</v>
      </c>
      <c r="DB210" s="36">
        <f ca="1">OFFSET($A$1,ROW(DB210)-1,MATCH(DA210,$1:$1,0)-1)</f>
        <v>12</v>
      </c>
      <c r="DC210" s="9">
        <f ca="1">BB210</f>
        <v>0.52235294117647046</v>
      </c>
      <c r="DD210" s="9">
        <f ca="1">$DC210+$CA210</f>
        <v>0.72257728775613772</v>
      </c>
      <c r="DE210" s="9">
        <f ca="1">$DC210-$CA210</f>
        <v>0.32212859459680321</v>
      </c>
      <c r="DF210" s="10">
        <f t="shared" ca="1" si="181"/>
        <v>0.38331237520882255</v>
      </c>
    </row>
    <row r="211" spans="1:110" s="8" customFormat="1" ht="32.4" customHeight="1">
      <c r="A211" s="206" t="s">
        <v>647</v>
      </c>
      <c r="B211" s="209" t="s">
        <v>2345</v>
      </c>
      <c r="C211" s="206" t="str">
        <f t="shared" si="151"/>
        <v>Parameter-Variation: Lambda_Insulation_Effective = 0,070 W/(m·K)</v>
      </c>
      <c r="D211" s="206"/>
      <c r="E211" s="206" t="s">
        <v>200</v>
      </c>
      <c r="F211" s="206" t="str">
        <f t="shared" si="182"/>
        <v>0,070 W/(m·K)</v>
      </c>
      <c r="G211" s="206" t="s">
        <v>2170</v>
      </c>
      <c r="H211" s="206" t="s">
        <v>2171</v>
      </c>
      <c r="I211" s="156" t="s">
        <v>80</v>
      </c>
      <c r="J211" s="156" t="s">
        <v>134</v>
      </c>
      <c r="K211" s="156" t="s">
        <v>155</v>
      </c>
      <c r="L211" s="156" t="s">
        <v>66</v>
      </c>
      <c r="M211" s="156" t="s">
        <v>188</v>
      </c>
      <c r="N211" s="7">
        <v>1960</v>
      </c>
      <c r="O211" s="156">
        <v>1</v>
      </c>
      <c r="P211" s="156">
        <v>0</v>
      </c>
      <c r="Q211" s="156" t="s">
        <v>435</v>
      </c>
      <c r="R211" s="156" t="s">
        <v>58</v>
      </c>
      <c r="S211" s="19">
        <v>12</v>
      </c>
      <c r="T211" s="19">
        <v>0.8</v>
      </c>
      <c r="U211" s="19">
        <v>2016</v>
      </c>
      <c r="V211" s="19">
        <f t="shared" si="184"/>
        <v>6.9999999999999993E-2</v>
      </c>
      <c r="W211" s="28" t="s">
        <v>59</v>
      </c>
      <c r="X211" s="19" t="e">
        <v>#N/A</v>
      </c>
      <c r="Y211" s="105">
        <f ca="1">IFERROR(OFFSET(Tab.Const.ConstrBorder!$A$1,MATCH(Q211,Tab.Const.ConstrBorder!$A:$A,0)-1,MATCH(Y$87,Tab.Const.ConstrBorder!$1:$1,0)-1),0)</f>
        <v>0</v>
      </c>
      <c r="Z211" s="18">
        <f t="shared" si="110"/>
        <v>1960</v>
      </c>
      <c r="AA211" s="17">
        <f>MATCH(Z211,Tab.Year.Period!$11:$11,1)-3</f>
        <v>5</v>
      </c>
      <c r="AB211" s="17">
        <f>MATCH(AB$88&amp;"."&amp;TEXT(AA211,"00"),Tab.U.Default!$A:$A,0)</f>
        <v>28</v>
      </c>
      <c r="AC211" s="105">
        <f ca="1">OFFSET(Tab.U.Default!$A$1,$AB211-1,MATCH("U_Class_"&amp;IF($J211="TopCeiling","UpperCeiling",$J211)&amp;"_"&amp;AC$87,Tab.U.Default!$1:$1,0)-1)</f>
        <v>1.2</v>
      </c>
      <c r="AD211" s="105">
        <f ca="1">OFFSET(Tab.U.Default!$A$1,$AB211-1,MATCH("U_Class_"&amp;IF($J211="TopCeiling","UpperCeiling",$J211)&amp;"_"&amp;AD$87,Tab.U.Default!$1:$1,0)-1)</f>
        <v>1.2</v>
      </c>
      <c r="AE211" s="105">
        <f ca="1">OFFSET(Tab.U.Default!$A$1,$AB211-1,MATCH("U_Class_"&amp;IF($J211="TopCeiling","UpperCeiling",$J211)&amp;"_"&amp;AE$87,Tab.U.Default!$1:$1,0)-1)</f>
        <v>0.8</v>
      </c>
      <c r="AF211" s="26">
        <f t="shared" ca="1" si="96"/>
        <v>1.2</v>
      </c>
      <c r="AG211" s="26">
        <f t="shared" ca="1" si="155"/>
        <v>1.2</v>
      </c>
      <c r="AH211" s="18" t="str">
        <f t="shared" si="168"/>
        <v>Refurbish</v>
      </c>
      <c r="AI211" s="18" t="str">
        <f t="shared" si="111"/>
        <v>Add</v>
      </c>
      <c r="AJ211" s="18">
        <f t="shared" si="98"/>
        <v>2016</v>
      </c>
      <c r="AK211" s="17">
        <f>MATCH(AJ211,Tab.Year.Period!$11:$11,1)-3</f>
        <v>12</v>
      </c>
      <c r="AL211" s="17">
        <f>MATCH(AL$88&amp;"."&amp;TEXT(AK211,"00"),Tab.Insulation.Default!$A:$A,0)</f>
        <v>23</v>
      </c>
      <c r="AM211" s="20" t="e">
        <f ca="1">IF(ISNA(IF(S211="",#N/A,S211)),OFFSET(Tab.Insulation.Default!$A$1,$AL211-1,MATCH(AM$87&amp;"_"&amp;$K211,Tab.Insulation.Default!$1:$1,0)-1),#N/A)</f>
        <v>#N/A</v>
      </c>
      <c r="AN211" s="27">
        <f t="shared" si="112"/>
        <v>12</v>
      </c>
      <c r="AO211" s="22" t="e">
        <f ca="1">IF(ISNA(IF(V211="",#N/A,V211)),OFFSET(Tab.Insulation.Default!$A$1,$AL211-1,MATCH(AO$87&amp;"_"&amp;$K211,Tab.Insulation.Default!$1:$1,0)-1),#N/A)</f>
        <v>#N/A</v>
      </c>
      <c r="AP211" s="23">
        <f t="shared" si="113"/>
        <v>6.9999999999999993E-2</v>
      </c>
      <c r="AQ211" s="29" t="str">
        <f t="shared" si="169"/>
        <v>Gen.Refurbished.12</v>
      </c>
      <c r="AR211" s="17">
        <f>MATCH(AR$88&amp;"."&amp;AQ211,Tab.Measure.f.Default!$A:$A,0)</f>
        <v>23</v>
      </c>
      <c r="AS211" s="21">
        <f ca="1">OFFSET(Tab.Measure.f.Default!$A$1,AR211-1,MATCH(AS$87&amp;"_"&amp;$J211,Tab.Measure.f.Default!$1:$1,0)-1)</f>
        <v>0.75</v>
      </c>
      <c r="AT211" s="29" t="str">
        <f t="shared" si="170"/>
        <v>MUH.NA.05</v>
      </c>
      <c r="AU211" s="17">
        <f>MATCH(AU$88&amp;"."&amp;AT211,Tab.Measure.f.Default!$A:$A,0)</f>
        <v>40</v>
      </c>
      <c r="AV211" s="21">
        <f ca="1">OFFSET(Tab.Measure.f.Default!$A$1,AU211-1,MATCH(AV$87&amp;"_"&amp;$J211,Tab.Measure.f.Default!$1:$1,0)-1)</f>
        <v>0.37</v>
      </c>
      <c r="AW211" s="30">
        <f t="shared" si="114"/>
        <v>0.8</v>
      </c>
      <c r="AX211" s="9">
        <f t="shared" ca="1" si="171"/>
        <v>0.83333333333333337</v>
      </c>
      <c r="AY211" s="9">
        <f t="shared" si="172"/>
        <v>1.7142857142857144</v>
      </c>
      <c r="AZ211" s="9">
        <f t="shared" ca="1" si="153"/>
        <v>2.5476190476190479</v>
      </c>
      <c r="BA211" s="9">
        <f t="shared" ca="1" si="154"/>
        <v>0.39252336448598124</v>
      </c>
      <c r="BB211" s="9">
        <f t="shared" ca="1" si="173"/>
        <v>0.55401869158878503</v>
      </c>
      <c r="BC211" s="32" t="str">
        <f t="shared" si="174"/>
        <v>D</v>
      </c>
      <c r="BD211" s="20" t="str">
        <f ca="1">OFFSET(Tab.Uncertainty.Levels!$A$1,MATCH(BD$88,Tab.Uncertainty.Levels!$A:$A,0)-1,MATCH(BD$87&amp;"_"&amp;BC211,Tab.Uncertainty.Levels!$1:$1,0)-1)</f>
        <v>Use of default values; building constructed until 1983</v>
      </c>
      <c r="BE211" s="24">
        <f ca="1">OFFSET(Tab.Uncertainty.Levels!$A$1,MATCH(BE$88,Tab.Uncertainty.Levels!$A:$A,0)-1,MATCH(BE$87&amp;"_"&amp;BC211,Tab.Uncertainty.Levels!$1:$1,0)-1)</f>
        <v>0.3</v>
      </c>
      <c r="BF211" s="32" t="str">
        <f t="shared" si="175"/>
        <v>-</v>
      </c>
      <c r="BG211" s="20" t="e">
        <f ca="1">OFFSET(Tab.Uncertainty.Levels!$A$1,MATCH(BG$88,Tab.Uncertainty.Levels!$A:$A,0)-1,MATCH(BG$87&amp;"_"&amp;BF211,Tab.Uncertainty.Levels!$1:$1,0)-1)</f>
        <v>#N/A</v>
      </c>
      <c r="BH211" s="24" t="e">
        <f ca="1">OFFSET(Tab.Uncertainty.Levels!$A$1,MATCH(BH$88,Tab.Uncertainty.Levels!$A:$A,0)-1,MATCH(BH$87&amp;"_"&amp;BF211,Tab.Uncertainty.Levels!$1:$1,0)-1)</f>
        <v>#N/A</v>
      </c>
      <c r="BI211" s="32" t="str">
        <f t="shared" si="137"/>
        <v>D</v>
      </c>
      <c r="BJ211" s="13">
        <f ca="1">IF(BF211="-",BE211,BH211)</f>
        <v>0.3</v>
      </c>
      <c r="BK211" s="32" t="str">
        <f>IF(OR($L211="NoDataSource",IFERROR(IF($S211="",#N/A,$S211),0)=0),IF(IFERROR(IF(U211="",#N/A,U211),0)=0,"E","D"),IF($L211="DesignDataPlusQA","A",IF($L211="DesignData","B","C")))</f>
        <v>C</v>
      </c>
      <c r="BL211" s="20" t="str">
        <f ca="1">OFFSET(Tab.Uncertainty.Levels!$A$1,MATCH(BL$88,Tab.Uncertainty.Levels!$A:$A,0)-1,MATCH(BL$87&amp;"_"&amp;BK211,Tab.Uncertainty.Levels!$1:$1,0)-1)</f>
        <v>Insulation thickness determined by inspection onsite / record or statement of owner</v>
      </c>
      <c r="BM211" s="24">
        <f ca="1">OFFSET(Tab.Uncertainty.Levels!$A$1,MATCH(BM$88,Tab.Uncertainty.Levels!$A:$A,0)-1,MATCH(BM$87&amp;"_"&amp;BK211,Tab.Uncertainty.Levels!$1:$1,0)-1)</f>
        <v>0.25</v>
      </c>
      <c r="BN211" s="34">
        <f ca="1">OFFSET(Tab.Uncertainty.Levels!$A$1,MATCH(BN$88,Tab.Uncertainty.Levels!$A:$A,0)-1,MATCH(BN$87&amp;"_"&amp;BK211,Tab.Uncertainty.Levels!$1:$1,0)-1)</f>
        <v>2</v>
      </c>
      <c r="BO211" s="13">
        <f ca="1">IFERROR(MIN(BM211,BN211/AN211),0)</f>
        <v>0.16666666666666666</v>
      </c>
      <c r="BP211" s="32" t="str">
        <f>IF(OR($L211="NoDataSource",IFERROR(IF($V211="",#N/A,$V211),0)=0),IF(IFERROR(IF(U211="",#N/A,U211),0)=0,"E","D"),IF($L211="DesignDataPlusQA","A",IF($L211="DesignData","B","C")))</f>
        <v>C</v>
      </c>
      <c r="BQ211" s="20" t="str">
        <f ca="1">OFFSET(Tab.Uncertainty.Levels!$A$1,MATCH(BQ$88,Tab.Uncertainty.Levels!$A:$A,0)-1,MATCH(BQ$87&amp;"_"&amp;BP211,Tab.Uncertainty.Levels!$1:$1,0)-1)</f>
        <v>Thermal conductivity of Insulation determined by inspection onsite / record or statement of owner</v>
      </c>
      <c r="BR211" s="97">
        <f ca="1">OFFSET(Tab.Uncertainty.Levels!$A$1,MATCH(BR$88,Tab.Uncertainty.Levels!$A:$A,0)-1,MATCH(BR$87&amp;"_"&amp;BP211,Tab.Uncertainty.Levels!$1:$1,0)-1)</f>
        <v>0.15</v>
      </c>
      <c r="BS211" s="32" t="str">
        <f>IF(L211="NoDataSource","D",IF(IFERROR(IF($T211="",#N/A,$T211),0)=0,IF(OR(IFERROR(IF($S211="",#N/A,$S211),0)&gt;0,$R211="Refurbish"),"D","E"),IF($L211="DesignDataPlusQA","A",IF($L211="DesignData","B","C"))))</f>
        <v>C</v>
      </c>
      <c r="BT211" s="20" t="str">
        <f ca="1">OFFSET(Tab.Uncertainty.Levels!$A$1,MATCH(BT$88,Tab.Uncertainty.Levels!$A:$A,0)-1,MATCH(BT$87&amp;"_"&amp;BS211,Tab.Uncertainty.Levels!$1:$1,0)-1)</f>
        <v>Insulation fraction determined by inspection onsite / record or statement of owner</v>
      </c>
      <c r="BU211" s="33">
        <f ca="1">OFFSET(Tab.Uncertainty.Levels!$A$1,MATCH(BU$88,Tab.Uncertainty.Levels!$A:$A,0)-1,MATCH(BU$87&amp;"_"&amp;BS211,Tab.Uncertainty.Levels!$1:$1,0)-1)</f>
        <v>0.2</v>
      </c>
      <c r="BV211" s="13">
        <f ca="1">IFERROR(MIN(BU211/AW211,1,(1-AW211)/AW211),0)</f>
        <v>0.24999999999999994</v>
      </c>
      <c r="BW211" s="96">
        <f ca="1">ABS(1+(AW211*(1/(1+AN211/100/AP211*AG211)^2-1)))*BJ211*$AG211</f>
        <v>0.10281491833347887</v>
      </c>
      <c r="BX211" s="96">
        <f ca="1">ABS(-AG211+1/(1/AG211+AN211/100/AP211))*BV211*AW211</f>
        <v>0.1614953271028037</v>
      </c>
      <c r="BY211" s="96">
        <f ca="1">ABS(-AW211*AP211/((AP211/AG211+AN211/100)^2))*(BO211*AN211/100)</f>
        <v>3.5217049523975898E-2</v>
      </c>
      <c r="BZ211" s="202">
        <f ca="1">ABS(AW211*AN211/100/(1/AG211*AP211+AN211/100)^2)*(BR211*AP211)</f>
        <v>3.1695344571578313E-2</v>
      </c>
      <c r="CA211" s="103">
        <f t="shared" ca="1" si="117"/>
        <v>0.19722191448377827</v>
      </c>
      <c r="CB211" s="37">
        <f t="shared" ca="1" si="176"/>
        <v>0.18558023383404587</v>
      </c>
      <c r="CC211" s="37">
        <f t="shared" ca="1" si="177"/>
        <v>0.291497975708502</v>
      </c>
      <c r="CD211" s="37">
        <f t="shared" ca="1" si="178"/>
        <v>6.3566536758863382E-2</v>
      </c>
      <c r="CE211" s="37">
        <f t="shared" ca="1" si="179"/>
        <v>5.7209883082977052E-2</v>
      </c>
      <c r="CF211" s="13">
        <f t="shared" ca="1" si="180"/>
        <v>0.35598422486107084</v>
      </c>
      <c r="CG211" s="101">
        <f ca="1">AG211</f>
        <v>1.2</v>
      </c>
      <c r="CH211" s="101">
        <f>AW211</f>
        <v>0.8</v>
      </c>
      <c r="CI211" s="203">
        <f>IF(CH211&gt;0,AN211,0)</f>
        <v>12</v>
      </c>
      <c r="CJ211" s="102">
        <f>IF(AND(CH211&gt;0,CI211&gt;0),AP211,0)</f>
        <v>6.9999999999999993E-2</v>
      </c>
      <c r="CK211" s="102">
        <f ca="1">BB211</f>
        <v>0.55401869158878503</v>
      </c>
      <c r="CL211" s="37">
        <f t="shared" ca="1" si="156"/>
        <v>0.3</v>
      </c>
      <c r="CM211" s="37">
        <f t="shared" ca="1" si="157"/>
        <v>0.24999999999999994</v>
      </c>
      <c r="CN211" s="37">
        <f t="shared" ca="1" si="158"/>
        <v>0.16666666666666666</v>
      </c>
      <c r="CO211" s="37">
        <f t="shared" ca="1" si="159"/>
        <v>0.15</v>
      </c>
      <c r="CP211" s="37">
        <f t="shared" ca="1" si="160"/>
        <v>0.35598422486107084</v>
      </c>
      <c r="CQ211" s="95">
        <f t="shared" ca="1" si="161"/>
        <v>0.36</v>
      </c>
      <c r="CR211" s="95">
        <f t="shared" ca="1" si="162"/>
        <v>0.19999999999999996</v>
      </c>
      <c r="CS211" s="95">
        <f t="shared" ca="1" si="163"/>
        <v>2</v>
      </c>
      <c r="CT211" s="103">
        <f t="shared" ca="1" si="164"/>
        <v>1.0499999999999999E-2</v>
      </c>
      <c r="CU211" s="95">
        <f t="shared" ca="1" si="165"/>
        <v>0.19722191448377829</v>
      </c>
      <c r="CV211" s="37">
        <f ca="1">$CB211^2/$CF211^2</f>
        <v>0.27177025958174611</v>
      </c>
      <c r="CW211" s="37">
        <f ca="1">$CD211^2/$CF211^2</f>
        <v>3.1885673559551811E-2</v>
      </c>
      <c r="CX211" s="37">
        <f ca="1">$CE211^2/$CF211^2</f>
        <v>2.5827395583236979E-2</v>
      </c>
      <c r="CY211" s="37">
        <f ca="1">$CC211^2/$CF211^2</f>
        <v>0.67051667127546466</v>
      </c>
      <c r="DA211" s="98" t="s">
        <v>214</v>
      </c>
      <c r="DB211" s="36">
        <f ca="1">OFFSET($A$1,ROW(DB211)-1,MATCH(DA211,$1:$1,0)-1)</f>
        <v>12</v>
      </c>
      <c r="DC211" s="9">
        <f ca="1">BB211</f>
        <v>0.55401869158878503</v>
      </c>
      <c r="DD211" s="9">
        <f ca="1">$DC211+$CA211</f>
        <v>0.75124060607256327</v>
      </c>
      <c r="DE211" s="9">
        <f ca="1">$DC211-$CA211</f>
        <v>0.35679677710500679</v>
      </c>
      <c r="DF211" s="10">
        <f t="shared" ca="1" si="181"/>
        <v>0.35598422486107073</v>
      </c>
    </row>
    <row r="212" spans="1:110" s="8" customFormat="1" ht="32.4" customHeight="1">
      <c r="A212" s="206" t="s">
        <v>648</v>
      </c>
      <c r="B212" s="209" t="s">
        <v>2345</v>
      </c>
      <c r="C212" s="206" t="str">
        <f t="shared" si="151"/>
        <v>Parameter-Variation: Lambda_Insulation_Effective = 0,080 W/(m·K)</v>
      </c>
      <c r="D212" s="206"/>
      <c r="E212" s="206" t="s">
        <v>200</v>
      </c>
      <c r="F212" s="206" t="str">
        <f t="shared" si="182"/>
        <v>0,080 W/(m·K)</v>
      </c>
      <c r="G212" s="206" t="s">
        <v>2170</v>
      </c>
      <c r="H212" s="206" t="s">
        <v>2171</v>
      </c>
      <c r="I212" s="156" t="s">
        <v>80</v>
      </c>
      <c r="J212" s="156" t="s">
        <v>134</v>
      </c>
      <c r="K212" s="156" t="s">
        <v>155</v>
      </c>
      <c r="L212" s="156" t="s">
        <v>66</v>
      </c>
      <c r="M212" s="156" t="s">
        <v>188</v>
      </c>
      <c r="N212" s="7">
        <v>1960</v>
      </c>
      <c r="O212" s="156">
        <v>1</v>
      </c>
      <c r="P212" s="156">
        <v>0</v>
      </c>
      <c r="Q212" s="156" t="s">
        <v>435</v>
      </c>
      <c r="R212" s="156" t="s">
        <v>58</v>
      </c>
      <c r="S212" s="19">
        <v>12</v>
      </c>
      <c r="T212" s="19">
        <v>0.8</v>
      </c>
      <c r="U212" s="19">
        <v>2016</v>
      </c>
      <c r="V212" s="19">
        <f t="shared" si="184"/>
        <v>7.9999999999999988E-2</v>
      </c>
      <c r="W212" s="28" t="s">
        <v>59</v>
      </c>
      <c r="X212" s="19" t="e">
        <v>#N/A</v>
      </c>
      <c r="Y212" s="105">
        <f ca="1">IFERROR(OFFSET(Tab.Const.ConstrBorder!$A$1,MATCH(Q212,Tab.Const.ConstrBorder!$A:$A,0)-1,MATCH(Y$87,Tab.Const.ConstrBorder!$1:$1,0)-1),0)</f>
        <v>0</v>
      </c>
      <c r="Z212" s="18">
        <f t="shared" si="110"/>
        <v>1960</v>
      </c>
      <c r="AA212" s="17">
        <f>MATCH(Z212,Tab.Year.Period!$11:$11,1)-3</f>
        <v>5</v>
      </c>
      <c r="AB212" s="17">
        <f>MATCH(AB$88&amp;"."&amp;TEXT(AA212,"00"),Tab.U.Default!$A:$A,0)</f>
        <v>28</v>
      </c>
      <c r="AC212" s="105">
        <f ca="1">OFFSET(Tab.U.Default!$A$1,$AB212-1,MATCH("U_Class_"&amp;IF($J212="TopCeiling","UpperCeiling",$J212)&amp;"_"&amp;AC$87,Tab.U.Default!$1:$1,0)-1)</f>
        <v>1.2</v>
      </c>
      <c r="AD212" s="105">
        <f ca="1">OFFSET(Tab.U.Default!$A$1,$AB212-1,MATCH("U_Class_"&amp;IF($J212="TopCeiling","UpperCeiling",$J212)&amp;"_"&amp;AD$87,Tab.U.Default!$1:$1,0)-1)</f>
        <v>1.2</v>
      </c>
      <c r="AE212" s="105">
        <f ca="1">OFFSET(Tab.U.Default!$A$1,$AB212-1,MATCH("U_Class_"&amp;IF($J212="TopCeiling","UpperCeiling",$J212)&amp;"_"&amp;AE$87,Tab.U.Default!$1:$1,0)-1)</f>
        <v>0.8</v>
      </c>
      <c r="AF212" s="26">
        <f t="shared" ca="1" si="96"/>
        <v>1.2</v>
      </c>
      <c r="AG212" s="26">
        <f t="shared" ca="1" si="155"/>
        <v>1.2</v>
      </c>
      <c r="AH212" s="18" t="str">
        <f t="shared" si="168"/>
        <v>Refurbish</v>
      </c>
      <c r="AI212" s="18" t="str">
        <f t="shared" si="111"/>
        <v>Add</v>
      </c>
      <c r="AJ212" s="18">
        <f t="shared" si="98"/>
        <v>2016</v>
      </c>
      <c r="AK212" s="17">
        <f>MATCH(AJ212,Tab.Year.Period!$11:$11,1)-3</f>
        <v>12</v>
      </c>
      <c r="AL212" s="17">
        <f>MATCH(AL$88&amp;"."&amp;TEXT(AK212,"00"),Tab.Insulation.Default!$A:$A,0)</f>
        <v>23</v>
      </c>
      <c r="AM212" s="20" t="e">
        <f ca="1">IF(ISNA(IF(S212="",#N/A,S212)),OFFSET(Tab.Insulation.Default!$A$1,$AL212-1,MATCH(AM$87&amp;"_"&amp;$K212,Tab.Insulation.Default!$1:$1,0)-1),#N/A)</f>
        <v>#N/A</v>
      </c>
      <c r="AN212" s="27">
        <f t="shared" si="112"/>
        <v>12</v>
      </c>
      <c r="AO212" s="22" t="e">
        <f ca="1">IF(ISNA(IF(V212="",#N/A,V212)),OFFSET(Tab.Insulation.Default!$A$1,$AL212-1,MATCH(AO$87&amp;"_"&amp;$K212,Tab.Insulation.Default!$1:$1,0)-1),#N/A)</f>
        <v>#N/A</v>
      </c>
      <c r="AP212" s="23">
        <f t="shared" si="113"/>
        <v>7.9999999999999988E-2</v>
      </c>
      <c r="AQ212" s="29" t="str">
        <f t="shared" si="169"/>
        <v>Gen.Refurbished.12</v>
      </c>
      <c r="AR212" s="17">
        <f>MATCH(AR$88&amp;"."&amp;AQ212,Tab.Measure.f.Default!$A:$A,0)</f>
        <v>23</v>
      </c>
      <c r="AS212" s="21">
        <f ca="1">OFFSET(Tab.Measure.f.Default!$A$1,AR212-1,MATCH(AS$87&amp;"_"&amp;$J212,Tab.Measure.f.Default!$1:$1,0)-1)</f>
        <v>0.75</v>
      </c>
      <c r="AT212" s="29" t="str">
        <f t="shared" si="170"/>
        <v>MUH.NA.05</v>
      </c>
      <c r="AU212" s="17">
        <f>MATCH(AU$88&amp;"."&amp;AT212,Tab.Measure.f.Default!$A:$A,0)</f>
        <v>40</v>
      </c>
      <c r="AV212" s="21">
        <f ca="1">OFFSET(Tab.Measure.f.Default!$A$1,AU212-1,MATCH(AV$87&amp;"_"&amp;$J212,Tab.Measure.f.Default!$1:$1,0)-1)</f>
        <v>0.37</v>
      </c>
      <c r="AW212" s="30">
        <f t="shared" si="114"/>
        <v>0.8</v>
      </c>
      <c r="AX212" s="9">
        <f t="shared" ca="1" si="171"/>
        <v>0.83333333333333337</v>
      </c>
      <c r="AY212" s="9">
        <f t="shared" si="172"/>
        <v>1.5000000000000002</v>
      </c>
      <c r="AZ212" s="9">
        <f t="shared" ca="1" si="153"/>
        <v>2.3333333333333335</v>
      </c>
      <c r="BA212" s="9">
        <f t="shared" ca="1" si="154"/>
        <v>0.42857142857142855</v>
      </c>
      <c r="BB212" s="9">
        <f t="shared" ca="1" si="173"/>
        <v>0.58285714285714274</v>
      </c>
      <c r="BC212" s="32" t="str">
        <f t="shared" si="174"/>
        <v>D</v>
      </c>
      <c r="BD212" s="20" t="str">
        <f ca="1">OFFSET(Tab.Uncertainty.Levels!$A$1,MATCH(BD$88,Tab.Uncertainty.Levels!$A:$A,0)-1,MATCH(BD$87&amp;"_"&amp;BC212,Tab.Uncertainty.Levels!$1:$1,0)-1)</f>
        <v>Use of default values; building constructed until 1983</v>
      </c>
      <c r="BE212" s="24">
        <f ca="1">OFFSET(Tab.Uncertainty.Levels!$A$1,MATCH(BE$88,Tab.Uncertainty.Levels!$A:$A,0)-1,MATCH(BE$87&amp;"_"&amp;BC212,Tab.Uncertainty.Levels!$1:$1,0)-1)</f>
        <v>0.3</v>
      </c>
      <c r="BF212" s="32" t="str">
        <f t="shared" si="175"/>
        <v>-</v>
      </c>
      <c r="BG212" s="20" t="e">
        <f ca="1">OFFSET(Tab.Uncertainty.Levels!$A$1,MATCH(BG$88,Tab.Uncertainty.Levels!$A:$A,0)-1,MATCH(BG$87&amp;"_"&amp;BF212,Tab.Uncertainty.Levels!$1:$1,0)-1)</f>
        <v>#N/A</v>
      </c>
      <c r="BH212" s="24" t="e">
        <f ca="1">OFFSET(Tab.Uncertainty.Levels!$A$1,MATCH(BH$88,Tab.Uncertainty.Levels!$A:$A,0)-1,MATCH(BH$87&amp;"_"&amp;BF212,Tab.Uncertainty.Levels!$1:$1,0)-1)</f>
        <v>#N/A</v>
      </c>
      <c r="BI212" s="32" t="str">
        <f t="shared" si="137"/>
        <v>D</v>
      </c>
      <c r="BJ212" s="13">
        <f ca="1">IF(BF212="-",BE212,BH212)</f>
        <v>0.3</v>
      </c>
      <c r="BK212" s="32" t="str">
        <f>IF(OR($L212="NoDataSource",IFERROR(IF($S212="",#N/A,$S212),0)=0),IF(IFERROR(IF(U212="",#N/A,U212),0)=0,"E","D"),IF($L212="DesignDataPlusQA","A",IF($L212="DesignData","B","C")))</f>
        <v>C</v>
      </c>
      <c r="BL212" s="20" t="str">
        <f ca="1">OFFSET(Tab.Uncertainty.Levels!$A$1,MATCH(BL$88,Tab.Uncertainty.Levels!$A:$A,0)-1,MATCH(BL$87&amp;"_"&amp;BK212,Tab.Uncertainty.Levels!$1:$1,0)-1)</f>
        <v>Insulation thickness determined by inspection onsite / record or statement of owner</v>
      </c>
      <c r="BM212" s="24">
        <f ca="1">OFFSET(Tab.Uncertainty.Levels!$A$1,MATCH(BM$88,Tab.Uncertainty.Levels!$A:$A,0)-1,MATCH(BM$87&amp;"_"&amp;BK212,Tab.Uncertainty.Levels!$1:$1,0)-1)</f>
        <v>0.25</v>
      </c>
      <c r="BN212" s="34">
        <f ca="1">OFFSET(Tab.Uncertainty.Levels!$A$1,MATCH(BN$88,Tab.Uncertainty.Levels!$A:$A,0)-1,MATCH(BN$87&amp;"_"&amp;BK212,Tab.Uncertainty.Levels!$1:$1,0)-1)</f>
        <v>2</v>
      </c>
      <c r="BO212" s="13">
        <f ca="1">IFERROR(MIN(BM212,BN212/AN212),0)</f>
        <v>0.16666666666666666</v>
      </c>
      <c r="BP212" s="32" t="str">
        <f>IF(OR($L212="NoDataSource",IFERROR(IF($V212="",#N/A,$V212),0)=0),IF(IFERROR(IF(U212="",#N/A,U212),0)=0,"E","D"),IF($L212="DesignDataPlusQA","A",IF($L212="DesignData","B","C")))</f>
        <v>C</v>
      </c>
      <c r="BQ212" s="20" t="str">
        <f ca="1">OFFSET(Tab.Uncertainty.Levels!$A$1,MATCH(BQ$88,Tab.Uncertainty.Levels!$A:$A,0)-1,MATCH(BQ$87&amp;"_"&amp;BP212,Tab.Uncertainty.Levels!$1:$1,0)-1)</f>
        <v>Thermal conductivity of Insulation determined by inspection onsite / record or statement of owner</v>
      </c>
      <c r="BR212" s="97">
        <f ca="1">OFFSET(Tab.Uncertainty.Levels!$A$1,MATCH(BR$88,Tab.Uncertainty.Levels!$A:$A,0)-1,MATCH(BR$87&amp;"_"&amp;BP212,Tab.Uncertainty.Levels!$1:$1,0)-1)</f>
        <v>0.15</v>
      </c>
      <c r="BS212" s="32" t="str">
        <f>IF(L212="NoDataSource","D",IF(IFERROR(IF($T212="",#N/A,$T212),0)=0,IF(OR(IFERROR(IF($S212="",#N/A,$S212),0)&gt;0,$R212="Refurbish"),"D","E"),IF($L212="DesignDataPlusQA","A",IF($L212="DesignData","B","C"))))</f>
        <v>C</v>
      </c>
      <c r="BT212" s="20" t="str">
        <f ca="1">OFFSET(Tab.Uncertainty.Levels!$A$1,MATCH(BT$88,Tab.Uncertainty.Levels!$A:$A,0)-1,MATCH(BT$87&amp;"_"&amp;BS212,Tab.Uncertainty.Levels!$1:$1,0)-1)</f>
        <v>Insulation fraction determined by inspection onsite / record or statement of owner</v>
      </c>
      <c r="BU212" s="33">
        <f ca="1">OFFSET(Tab.Uncertainty.Levels!$A$1,MATCH(BU$88,Tab.Uncertainty.Levels!$A:$A,0)-1,MATCH(BU$87&amp;"_"&amp;BS212,Tab.Uncertainty.Levels!$1:$1,0)-1)</f>
        <v>0.2</v>
      </c>
      <c r="BV212" s="13">
        <f ca="1">IFERROR(MIN(BU212/AW212,1,(1-AW212)/AW212),0)</f>
        <v>0.24999999999999994</v>
      </c>
      <c r="BW212" s="96">
        <f ca="1">ABS(1+(AW212*(1/(1+AN212/100/AP212*AG212)^2-1)))*BJ212*$AG212</f>
        <v>0.10873469387755101</v>
      </c>
      <c r="BX212" s="96">
        <f ca="1">ABS(-AG212+1/(1/AG212+AN212/100/AP212))*BV212*AW212</f>
        <v>0.15428571428571425</v>
      </c>
      <c r="BY212" s="96">
        <f ca="1">ABS(-AW212*AP212/((AP212/AG212+AN212/100)^2))*(BO212*AN212/100)</f>
        <v>3.6734693877551024E-2</v>
      </c>
      <c r="BZ212" s="202">
        <f ca="1">ABS(AW212*AN212/100/(1/AG212*AP212+AN212/100)^2)*(BR212*AP212)</f>
        <v>3.3061224489795926E-2</v>
      </c>
      <c r="CA212" s="103">
        <f t="shared" ca="1" si="117"/>
        <v>0.19511483178974334</v>
      </c>
      <c r="CB212" s="37">
        <f t="shared" ca="1" si="176"/>
        <v>0.18655462184873953</v>
      </c>
      <c r="CC212" s="37">
        <f t="shared" ca="1" si="177"/>
        <v>0.26470588235294118</v>
      </c>
      <c r="CD212" s="37">
        <f t="shared" ca="1" si="178"/>
        <v>6.3025210084033625E-2</v>
      </c>
      <c r="CE212" s="37">
        <f t="shared" ca="1" si="179"/>
        <v>5.672268907563028E-2</v>
      </c>
      <c r="CF212" s="13">
        <f t="shared" ca="1" si="180"/>
        <v>0.33475583885495191</v>
      </c>
      <c r="CG212" s="101">
        <f ca="1">AG212</f>
        <v>1.2</v>
      </c>
      <c r="CH212" s="101">
        <f>AW212</f>
        <v>0.8</v>
      </c>
      <c r="CI212" s="203">
        <f>IF(CH212&gt;0,AN212,0)</f>
        <v>12</v>
      </c>
      <c r="CJ212" s="102">
        <f>IF(AND(CH212&gt;0,CI212&gt;0),AP212,0)</f>
        <v>7.9999999999999988E-2</v>
      </c>
      <c r="CK212" s="102">
        <f ca="1">BB212</f>
        <v>0.58285714285714274</v>
      </c>
      <c r="CL212" s="37">
        <f t="shared" ca="1" si="156"/>
        <v>0.3</v>
      </c>
      <c r="CM212" s="37">
        <f t="shared" ca="1" si="157"/>
        <v>0.24999999999999994</v>
      </c>
      <c r="CN212" s="37">
        <f t="shared" ca="1" si="158"/>
        <v>0.16666666666666666</v>
      </c>
      <c r="CO212" s="37">
        <f t="shared" ca="1" si="159"/>
        <v>0.15</v>
      </c>
      <c r="CP212" s="37">
        <f t="shared" ca="1" si="160"/>
        <v>0.33475583885495191</v>
      </c>
      <c r="CQ212" s="95">
        <f t="shared" ca="1" si="161"/>
        <v>0.36</v>
      </c>
      <c r="CR212" s="95">
        <f t="shared" ca="1" si="162"/>
        <v>0.19999999999999996</v>
      </c>
      <c r="CS212" s="95">
        <f t="shared" ca="1" si="163"/>
        <v>2</v>
      </c>
      <c r="CT212" s="103">
        <f t="shared" ca="1" si="164"/>
        <v>1.1999999999999999E-2</v>
      </c>
      <c r="CU212" s="95">
        <f t="shared" ca="1" si="165"/>
        <v>0.19511483178974337</v>
      </c>
      <c r="CV212" s="37">
        <f ca="1">$CB212^2/$CF212^2</f>
        <v>0.31056728437947517</v>
      </c>
      <c r="CW212" s="37">
        <f ca="1">$CD212^2/$CF212^2</f>
        <v>3.5446412114165812E-2</v>
      </c>
      <c r="CX212" s="37">
        <f ca="1">$CE212^2/$CF212^2</f>
        <v>2.8711593812474324E-2</v>
      </c>
      <c r="CY212" s="37">
        <f ca="1">$CC212^2/$CF212^2</f>
        <v>0.62527470969388477</v>
      </c>
      <c r="DA212" s="98" t="s">
        <v>214</v>
      </c>
      <c r="DB212" s="36">
        <f ca="1">OFFSET($A$1,ROW(DB212)-1,MATCH(DA212,$1:$1,0)-1)</f>
        <v>12</v>
      </c>
      <c r="DC212" s="9">
        <f ca="1">BB212</f>
        <v>0.58285714285714274</v>
      </c>
      <c r="DD212" s="9">
        <f ca="1">$DC212+$CA212</f>
        <v>0.77797197464688606</v>
      </c>
      <c r="DE212" s="9">
        <f ca="1">$DC212-$CA212</f>
        <v>0.38774231106739943</v>
      </c>
      <c r="DF212" s="10">
        <f t="shared" ca="1" si="181"/>
        <v>0.33475583885495186</v>
      </c>
    </row>
    <row r="213" spans="1:110" s="8" customFormat="1" ht="32.4" customHeight="1">
      <c r="A213" s="206" t="s">
        <v>649</v>
      </c>
      <c r="B213" s="209" t="s">
        <v>2345</v>
      </c>
      <c r="C213" s="206" t="str">
        <f t="shared" si="151"/>
        <v>Parameter-Variation: Code_DataSources = DesignDataPlusQA</v>
      </c>
      <c r="D213" s="206"/>
      <c r="E213" s="206" t="s">
        <v>202</v>
      </c>
      <c r="F213" s="206" t="str">
        <f>L213</f>
        <v>DesignDataPlusQA</v>
      </c>
      <c r="G213" s="206" t="s">
        <v>2170</v>
      </c>
      <c r="H213" s="206" t="s">
        <v>2171</v>
      </c>
      <c r="I213" s="156" t="s">
        <v>80</v>
      </c>
      <c r="J213" s="156" t="s">
        <v>134</v>
      </c>
      <c r="K213" s="156" t="s">
        <v>155</v>
      </c>
      <c r="L213" s="156" t="s">
        <v>68</v>
      </c>
      <c r="M213" s="156" t="s">
        <v>188</v>
      </c>
      <c r="N213" s="7">
        <v>1960</v>
      </c>
      <c r="O213" s="156">
        <v>1</v>
      </c>
      <c r="P213" s="156">
        <v>0</v>
      </c>
      <c r="Q213" s="156" t="s">
        <v>435</v>
      </c>
      <c r="R213" s="156" t="s">
        <v>58</v>
      </c>
      <c r="S213" s="19">
        <v>12</v>
      </c>
      <c r="T213" s="19">
        <v>0.8</v>
      </c>
      <c r="U213" s="19">
        <v>2016</v>
      </c>
      <c r="V213" s="19" t="e">
        <v>#N/A</v>
      </c>
      <c r="W213" s="28" t="s">
        <v>59</v>
      </c>
      <c r="X213" s="19" t="e">
        <v>#N/A</v>
      </c>
      <c r="Y213" s="105">
        <f ca="1">IFERROR(OFFSET(Tab.Const.ConstrBorder!$A$1,MATCH(Q213,Tab.Const.ConstrBorder!$A:$A,0)-1,MATCH(Y$87,Tab.Const.ConstrBorder!$1:$1,0)-1),0)</f>
        <v>0</v>
      </c>
      <c r="Z213" s="18">
        <f t="shared" si="110"/>
        <v>1960</v>
      </c>
      <c r="AA213" s="17">
        <f>MATCH(Z213,Tab.Year.Period!$11:$11,1)-3</f>
        <v>5</v>
      </c>
      <c r="AB213" s="17">
        <f>MATCH(AB$88&amp;"."&amp;TEXT(AA213,"00"),Tab.U.Default!$A:$A,0)</f>
        <v>28</v>
      </c>
      <c r="AC213" s="105">
        <f ca="1">OFFSET(Tab.U.Default!$A$1,$AB213-1,MATCH("U_Class_"&amp;IF($J213="TopCeiling","UpperCeiling",$J213)&amp;"_"&amp;AC$87,Tab.U.Default!$1:$1,0)-1)</f>
        <v>1.2</v>
      </c>
      <c r="AD213" s="105">
        <f ca="1">OFFSET(Tab.U.Default!$A$1,$AB213-1,MATCH("U_Class_"&amp;IF($J213="TopCeiling","UpperCeiling",$J213)&amp;"_"&amp;AD$87,Tab.U.Default!$1:$1,0)-1)</f>
        <v>1.2</v>
      </c>
      <c r="AE213" s="105">
        <f ca="1">OFFSET(Tab.U.Default!$A$1,$AB213-1,MATCH("U_Class_"&amp;IF($J213="TopCeiling","UpperCeiling",$J213)&amp;"_"&amp;AE$87,Tab.U.Default!$1:$1,0)-1)</f>
        <v>0.8</v>
      </c>
      <c r="AF213" s="26">
        <f t="shared" ca="1" si="96"/>
        <v>1.2</v>
      </c>
      <c r="AG213" s="26">
        <f t="shared" ca="1" si="155"/>
        <v>1.2</v>
      </c>
      <c r="AH213" s="18" t="str">
        <f t="shared" si="168"/>
        <v>Refurbish</v>
      </c>
      <c r="AI213" s="18" t="str">
        <f t="shared" si="111"/>
        <v>Add</v>
      </c>
      <c r="AJ213" s="18">
        <f t="shared" si="98"/>
        <v>2016</v>
      </c>
      <c r="AK213" s="17">
        <f>MATCH(AJ213,Tab.Year.Period!$11:$11,1)-3</f>
        <v>12</v>
      </c>
      <c r="AL213" s="17">
        <f>MATCH(AL$88&amp;"."&amp;TEXT(AK213,"00"),Tab.Insulation.Default!$A:$A,0)</f>
        <v>23</v>
      </c>
      <c r="AM213" s="20" t="e">
        <f ca="1">IF(ISNA(IF(S213="",#N/A,S213)),OFFSET(Tab.Insulation.Default!$A$1,$AL213-1,MATCH(AM$87&amp;"_"&amp;$K213,Tab.Insulation.Default!$1:$1,0)-1),#N/A)</f>
        <v>#N/A</v>
      </c>
      <c r="AN213" s="27">
        <f t="shared" si="112"/>
        <v>12</v>
      </c>
      <c r="AO213" s="22">
        <f ca="1">IF(ISNA(IF(V213="",#N/A,V213)),OFFSET(Tab.Insulation.Default!$A$1,$AL213-1,MATCH(AO$87&amp;"_"&amp;$K213,Tab.Insulation.Default!$1:$1,0)-1),#N/A)</f>
        <v>3.5000000000000003E-2</v>
      </c>
      <c r="AP213" s="23">
        <f t="shared" ca="1" si="113"/>
        <v>3.5000000000000003E-2</v>
      </c>
      <c r="AQ213" s="29" t="str">
        <f t="shared" si="169"/>
        <v>Gen.Refurbished.12</v>
      </c>
      <c r="AR213" s="17">
        <f>MATCH(AR$88&amp;"."&amp;AQ213,Tab.Measure.f.Default!$A:$A,0)</f>
        <v>23</v>
      </c>
      <c r="AS213" s="21">
        <f ca="1">OFFSET(Tab.Measure.f.Default!$A$1,AR213-1,MATCH(AS$87&amp;"_"&amp;$J213,Tab.Measure.f.Default!$1:$1,0)-1)</f>
        <v>0.75</v>
      </c>
      <c r="AT213" s="29" t="str">
        <f t="shared" si="170"/>
        <v>MUH.NA.05</v>
      </c>
      <c r="AU213" s="17">
        <f>MATCH(AU$88&amp;"."&amp;AT213,Tab.Measure.f.Default!$A:$A,0)</f>
        <v>40</v>
      </c>
      <c r="AV213" s="21">
        <f ca="1">OFFSET(Tab.Measure.f.Default!$A$1,AU213-1,MATCH(AV$87&amp;"_"&amp;$J213,Tab.Measure.f.Default!$1:$1,0)-1)</f>
        <v>0.37</v>
      </c>
      <c r="AW213" s="30">
        <f t="shared" si="114"/>
        <v>0.8</v>
      </c>
      <c r="AX213" s="9">
        <f t="shared" ca="1" si="171"/>
        <v>0.83333333333333337</v>
      </c>
      <c r="AY213" s="9">
        <f t="shared" ca="1" si="172"/>
        <v>3.4285714285714279</v>
      </c>
      <c r="AZ213" s="9">
        <f t="shared" ca="1" si="153"/>
        <v>4.261904761904761</v>
      </c>
      <c r="BA213" s="9">
        <f t="shared" ca="1" si="154"/>
        <v>0.23463687150837995</v>
      </c>
      <c r="BB213" s="9">
        <f t="shared" ca="1" si="173"/>
        <v>0.42770949720670393</v>
      </c>
      <c r="BC213" s="32" t="str">
        <f t="shared" si="174"/>
        <v>D</v>
      </c>
      <c r="BD213" s="20" t="str">
        <f ca="1">OFFSET(Tab.Uncertainty.Levels!$A$1,MATCH(BD$88,Tab.Uncertainty.Levels!$A:$A,0)-1,MATCH(BD$87&amp;"_"&amp;BC213,Tab.Uncertainty.Levels!$1:$1,0)-1)</f>
        <v>Use of default values; building constructed until 1983</v>
      </c>
      <c r="BE213" s="24">
        <f ca="1">OFFSET(Tab.Uncertainty.Levels!$A$1,MATCH(BE$88,Tab.Uncertainty.Levels!$A:$A,0)-1,MATCH(BE$87&amp;"_"&amp;BC213,Tab.Uncertainty.Levels!$1:$1,0)-1)</f>
        <v>0.3</v>
      </c>
      <c r="BF213" s="32" t="str">
        <f t="shared" si="175"/>
        <v>-</v>
      </c>
      <c r="BG213" s="20" t="e">
        <f ca="1">OFFSET(Tab.Uncertainty.Levels!$A$1,MATCH(BG$88,Tab.Uncertainty.Levels!$A:$A,0)-1,MATCH(BG$87&amp;"_"&amp;BF213,Tab.Uncertainty.Levels!$1:$1,0)-1)</f>
        <v>#N/A</v>
      </c>
      <c r="BH213" s="24" t="e">
        <f ca="1">OFFSET(Tab.Uncertainty.Levels!$A$1,MATCH(BH$88,Tab.Uncertainty.Levels!$A:$A,0)-1,MATCH(BH$87&amp;"_"&amp;BF213,Tab.Uncertainty.Levels!$1:$1,0)-1)</f>
        <v>#N/A</v>
      </c>
      <c r="BI213" s="32" t="str">
        <f t="shared" si="137"/>
        <v>D</v>
      </c>
      <c r="BJ213" s="13">
        <f ca="1">IF(BF213="-",BE213,BH213)</f>
        <v>0.3</v>
      </c>
      <c r="BK213" s="32" t="str">
        <f>IF(OR($L213="NoDataSource",IFERROR(IF($S213="",#N/A,$S213),0)=0),IF(IFERROR(IF(U213="",#N/A,U213),0)=0,"E","D"),IF($L213="DesignDataPlusQA","A",IF($L213="DesignData","B","C")))</f>
        <v>A</v>
      </c>
      <c r="BL213" s="20" t="str">
        <f ca="1">OFFSET(Tab.Uncertainty.Levels!$A$1,MATCH(BL$88,Tab.Uncertainty.Levels!$A:$A,0)-1,MATCH(BL$87&amp;"_"&amp;BK213,Tab.Uncertainty.Levels!$1:$1,0)-1)</f>
        <v>Insulation thickness from design data, quality assured</v>
      </c>
      <c r="BM213" s="24">
        <f ca="1">OFFSET(Tab.Uncertainty.Levels!$A$1,MATCH(BM$88,Tab.Uncertainty.Levels!$A:$A,0)-1,MATCH(BM$87&amp;"_"&amp;BK213,Tab.Uncertainty.Levels!$1:$1,0)-1)</f>
        <v>0.05</v>
      </c>
      <c r="BN213" s="34">
        <f ca="1">OFFSET(Tab.Uncertainty.Levels!$A$1,MATCH(BN$88,Tab.Uncertainty.Levels!$A:$A,0)-1,MATCH(BN$87&amp;"_"&amp;BK213,Tab.Uncertainty.Levels!$1:$1,0)-1)</f>
        <v>0.5</v>
      </c>
      <c r="BO213" s="13">
        <f ca="1">IFERROR(MIN(BM213,BN213/AN213),0)</f>
        <v>4.1666666666666664E-2</v>
      </c>
      <c r="BP213" s="32" t="str">
        <f>IF(OR($L213="NoDataSource",IFERROR(IF($V213="",#N/A,$V213),0)=0),IF(IFERROR(IF(U213="",#N/A,U213),0)=0,"E","D"),IF($L213="DesignDataPlusQA","A",IF($L213="DesignData","B","C")))</f>
        <v>D</v>
      </c>
      <c r="BQ213" s="20" t="str">
        <f ca="1">OFFSET(Tab.Uncertainty.Levels!$A$1,MATCH(BQ$88,Tab.Uncertainty.Levels!$A:$A,0)-1,MATCH(BQ$87&amp;"_"&amp;BP213,Tab.Uncertainty.Levels!$1:$1,0)-1)</f>
        <v>Insulation available; no information about material</v>
      </c>
      <c r="BR213" s="97">
        <f ca="1">OFFSET(Tab.Uncertainty.Levels!$A$1,MATCH(BR$88,Tab.Uncertainty.Levels!$A:$A,0)-1,MATCH(BR$87&amp;"_"&amp;BP213,Tab.Uncertainty.Levels!$1:$1,0)-1)</f>
        <v>0.2</v>
      </c>
      <c r="BS213" s="32" t="str">
        <f>IF(L213="NoDataSource","D",IF(IFERROR(IF($T213="",#N/A,$T213),0)=0,IF(OR(IFERROR(IF($S213="",#N/A,$S213),0)&gt;0,$R213="Refurbish"),"D","E"),IF($L213="DesignDataPlusQA","A",IF($L213="DesignData","B","C"))))</f>
        <v>A</v>
      </c>
      <c r="BT213" s="20" t="str">
        <f ca="1">OFFSET(Tab.Uncertainty.Levels!$A$1,MATCH(BT$88,Tab.Uncertainty.Levels!$A:$A,0)-1,MATCH(BT$87&amp;"_"&amp;BS213,Tab.Uncertainty.Levels!$1:$1,0)-1)</f>
        <v>Insulation fraction from design data, quality assured</v>
      </c>
      <c r="BU213" s="33">
        <f ca="1">OFFSET(Tab.Uncertainty.Levels!$A$1,MATCH(BU$88,Tab.Uncertainty.Levels!$A:$A,0)-1,MATCH(BU$87&amp;"_"&amp;BS213,Tab.Uncertainty.Levels!$1:$1,0)-1)</f>
        <v>0.05</v>
      </c>
      <c r="BV213" s="13">
        <f ca="1">IFERROR(MIN(BU213/AW213,1,(1-AW213)/AW213),0)</f>
        <v>6.25E-2</v>
      </c>
      <c r="BW213" s="96">
        <f ca="1">ABS(1+(AW213*(1/(1+AN213/100/AP213*AG213)^2-1)))*BJ213*$AG213</f>
        <v>8.3010892294247976E-2</v>
      </c>
      <c r="BX213" s="96">
        <f ca="1">ABS(-AG213+1/(1/AG213+AN213/100/AP213))*BV213*AW213</f>
        <v>4.8268156424581002E-2</v>
      </c>
      <c r="BY213" s="96">
        <f ca="1">ABS(-AW213*AP213/((AP213/AG213+AN213/100)^2))*(BO213*AN213/100)</f>
        <v>6.2919384538559974E-3</v>
      </c>
      <c r="BZ213" s="202">
        <f ca="1">ABS(AW213*AN213/100/(1/AG213*AP213+AN213/100)^2)*(BR213*AP213)</f>
        <v>3.0201304578508798E-2</v>
      </c>
      <c r="CA213" s="103">
        <f t="shared" ca="1" si="117"/>
        <v>0.10085797168229206</v>
      </c>
      <c r="CB213" s="37">
        <f t="shared" ca="1" si="176"/>
        <v>0.19408241536925794</v>
      </c>
      <c r="CC213" s="37">
        <f t="shared" ca="1" si="177"/>
        <v>0.1128526645768025</v>
      </c>
      <c r="CD213" s="37">
        <f t="shared" ca="1" si="178"/>
        <v>1.4710775643158614E-2</v>
      </c>
      <c r="CE213" s="37">
        <f t="shared" ca="1" si="179"/>
        <v>7.0611723087161377E-2</v>
      </c>
      <c r="CF213" s="13">
        <f t="shared" ca="1" si="180"/>
        <v>0.23580952104402142</v>
      </c>
      <c r="CG213" s="101">
        <f ca="1">AG213</f>
        <v>1.2</v>
      </c>
      <c r="CH213" s="101">
        <f>AW213</f>
        <v>0.8</v>
      </c>
      <c r="CI213" s="203">
        <f>IF(CH213&gt;0,AN213,0)</f>
        <v>12</v>
      </c>
      <c r="CJ213" s="102">
        <f ca="1">IF(AND(CH213&gt;0,CI213&gt;0),AP213,0)</f>
        <v>3.5000000000000003E-2</v>
      </c>
      <c r="CK213" s="102">
        <f ca="1">BB213</f>
        <v>0.42770949720670393</v>
      </c>
      <c r="CL213" s="37">
        <f t="shared" ca="1" si="156"/>
        <v>0.3</v>
      </c>
      <c r="CM213" s="37">
        <f t="shared" ca="1" si="157"/>
        <v>6.25E-2</v>
      </c>
      <c r="CN213" s="37">
        <f t="shared" ca="1" si="158"/>
        <v>4.1666666666666664E-2</v>
      </c>
      <c r="CO213" s="37">
        <f t="shared" ca="1" si="159"/>
        <v>0.2</v>
      </c>
      <c r="CP213" s="37">
        <f t="shared" ca="1" si="160"/>
        <v>0.23580952104402142</v>
      </c>
      <c r="CQ213" s="95">
        <f t="shared" ca="1" si="161"/>
        <v>0.36</v>
      </c>
      <c r="CR213" s="95">
        <f t="shared" ca="1" si="162"/>
        <v>0.05</v>
      </c>
      <c r="CS213" s="95">
        <f t="shared" ca="1" si="163"/>
        <v>0.5</v>
      </c>
      <c r="CT213" s="103">
        <f t="shared" ca="1" si="164"/>
        <v>7.000000000000001E-3</v>
      </c>
      <c r="CU213" s="95">
        <f t="shared" ca="1" si="165"/>
        <v>0.10085797168229207</v>
      </c>
      <c r="CV213" s="37">
        <f ca="1">$CB213^2/$CF213^2</f>
        <v>0.67740703785563483</v>
      </c>
      <c r="CW213" s="37">
        <f ca="1">$CD213^2/$CF213^2</f>
        <v>3.8917817008048156E-3</v>
      </c>
      <c r="CX213" s="37">
        <f ca="1">$CE213^2/$CF213^2</f>
        <v>8.9666650386543034E-2</v>
      </c>
      <c r="CY213" s="37">
        <f ca="1">$CC213^2/$CF213^2</f>
        <v>0.2290345300570171</v>
      </c>
      <c r="DA213" s="98" t="s">
        <v>214</v>
      </c>
      <c r="DB213" s="36">
        <f ca="1">OFFSET($A$1,ROW(DB213)-1,MATCH(DA213,$1:$1,0)-1)</f>
        <v>12</v>
      </c>
      <c r="DC213" s="9">
        <f ca="1">BB213</f>
        <v>0.42770949720670393</v>
      </c>
      <c r="DD213" s="9">
        <f ca="1">$DC213+$CA213</f>
        <v>0.52856746888899597</v>
      </c>
      <c r="DE213" s="9">
        <f ca="1">$DC213-$CA213</f>
        <v>0.32685152552441188</v>
      </c>
      <c r="DF213" s="10">
        <f t="shared" ca="1" si="181"/>
        <v>0.23580952104402136</v>
      </c>
    </row>
    <row r="214" spans="1:110" s="8" customFormat="1" ht="32.4" customHeight="1">
      <c r="A214" s="206" t="s">
        <v>650</v>
      </c>
      <c r="B214" s="209" t="s">
        <v>2345</v>
      </c>
      <c r="C214" s="206" t="str">
        <f t="shared" si="151"/>
        <v>Parameter-Variation: Code_DataSources = DesignData</v>
      </c>
      <c r="D214" s="206"/>
      <c r="E214" s="206" t="s">
        <v>202</v>
      </c>
      <c r="F214" s="206" t="str">
        <f t="shared" ref="F214:F216" si="185">L214</f>
        <v>DesignData</v>
      </c>
      <c r="G214" s="206" t="s">
        <v>2170</v>
      </c>
      <c r="H214" s="206" t="s">
        <v>2171</v>
      </c>
      <c r="I214" s="156" t="s">
        <v>80</v>
      </c>
      <c r="J214" s="156" t="s">
        <v>134</v>
      </c>
      <c r="K214" s="156" t="s">
        <v>155</v>
      </c>
      <c r="L214" s="156" t="s">
        <v>67</v>
      </c>
      <c r="M214" s="156" t="s">
        <v>188</v>
      </c>
      <c r="N214" s="7">
        <v>1960</v>
      </c>
      <c r="O214" s="156">
        <v>1</v>
      </c>
      <c r="P214" s="156">
        <v>0</v>
      </c>
      <c r="Q214" s="156" t="s">
        <v>435</v>
      </c>
      <c r="R214" s="156" t="s">
        <v>58</v>
      </c>
      <c r="S214" s="19">
        <v>12</v>
      </c>
      <c r="T214" s="19">
        <v>0.8</v>
      </c>
      <c r="U214" s="19">
        <v>2016</v>
      </c>
      <c r="V214" s="19" t="e">
        <v>#N/A</v>
      </c>
      <c r="W214" s="28" t="s">
        <v>59</v>
      </c>
      <c r="X214" s="19" t="e">
        <v>#N/A</v>
      </c>
      <c r="Y214" s="105">
        <f ca="1">IFERROR(OFFSET(Tab.Const.ConstrBorder!$A$1,MATCH(Q214,Tab.Const.ConstrBorder!$A:$A,0)-1,MATCH(Y$87,Tab.Const.ConstrBorder!$1:$1,0)-1),0)</f>
        <v>0</v>
      </c>
      <c r="Z214" s="18">
        <f t="shared" si="110"/>
        <v>1960</v>
      </c>
      <c r="AA214" s="17">
        <f>MATCH(Z214,Tab.Year.Period!$11:$11,1)-3</f>
        <v>5</v>
      </c>
      <c r="AB214" s="17">
        <f>MATCH(AB$88&amp;"."&amp;TEXT(AA214,"00"),Tab.U.Default!$A:$A,0)</f>
        <v>28</v>
      </c>
      <c r="AC214" s="105">
        <f ca="1">OFFSET(Tab.U.Default!$A$1,$AB214-1,MATCH("U_Class_"&amp;IF($J214="TopCeiling","UpperCeiling",$J214)&amp;"_"&amp;AC$87,Tab.U.Default!$1:$1,0)-1)</f>
        <v>1.2</v>
      </c>
      <c r="AD214" s="105">
        <f ca="1">OFFSET(Tab.U.Default!$A$1,$AB214-1,MATCH("U_Class_"&amp;IF($J214="TopCeiling","UpperCeiling",$J214)&amp;"_"&amp;AD$87,Tab.U.Default!$1:$1,0)-1)</f>
        <v>1.2</v>
      </c>
      <c r="AE214" s="105">
        <f ca="1">OFFSET(Tab.U.Default!$A$1,$AB214-1,MATCH("U_Class_"&amp;IF($J214="TopCeiling","UpperCeiling",$J214)&amp;"_"&amp;AE$87,Tab.U.Default!$1:$1,0)-1)</f>
        <v>0.8</v>
      </c>
      <c r="AF214" s="26">
        <f t="shared" ca="1" si="96"/>
        <v>1.2</v>
      </c>
      <c r="AG214" s="26">
        <f t="shared" ca="1" si="155"/>
        <v>1.2</v>
      </c>
      <c r="AH214" s="18" t="str">
        <f t="shared" si="168"/>
        <v>Refurbish</v>
      </c>
      <c r="AI214" s="18" t="str">
        <f t="shared" si="111"/>
        <v>Add</v>
      </c>
      <c r="AJ214" s="18">
        <f t="shared" si="98"/>
        <v>2016</v>
      </c>
      <c r="AK214" s="17">
        <f>MATCH(AJ214,Tab.Year.Period!$11:$11,1)-3</f>
        <v>12</v>
      </c>
      <c r="AL214" s="17">
        <f>MATCH(AL$88&amp;"."&amp;TEXT(AK214,"00"),Tab.Insulation.Default!$A:$A,0)</f>
        <v>23</v>
      </c>
      <c r="AM214" s="20" t="e">
        <f ca="1">IF(ISNA(IF(S214="",#N/A,S214)),OFFSET(Tab.Insulation.Default!$A$1,$AL214-1,MATCH(AM$87&amp;"_"&amp;$K214,Tab.Insulation.Default!$1:$1,0)-1),#N/A)</f>
        <v>#N/A</v>
      </c>
      <c r="AN214" s="27">
        <f t="shared" si="112"/>
        <v>12</v>
      </c>
      <c r="AO214" s="22">
        <f ca="1">IF(ISNA(IF(V214="",#N/A,V214)),OFFSET(Tab.Insulation.Default!$A$1,$AL214-1,MATCH(AO$87&amp;"_"&amp;$K214,Tab.Insulation.Default!$1:$1,0)-1),#N/A)</f>
        <v>3.5000000000000003E-2</v>
      </c>
      <c r="AP214" s="23">
        <f t="shared" ca="1" si="113"/>
        <v>3.5000000000000003E-2</v>
      </c>
      <c r="AQ214" s="29" t="str">
        <f t="shared" si="169"/>
        <v>Gen.Refurbished.12</v>
      </c>
      <c r="AR214" s="17">
        <f>MATCH(AR$88&amp;"."&amp;AQ214,Tab.Measure.f.Default!$A:$A,0)</f>
        <v>23</v>
      </c>
      <c r="AS214" s="21">
        <f ca="1">OFFSET(Tab.Measure.f.Default!$A$1,AR214-1,MATCH(AS$87&amp;"_"&amp;$J214,Tab.Measure.f.Default!$1:$1,0)-1)</f>
        <v>0.75</v>
      </c>
      <c r="AT214" s="29" t="str">
        <f t="shared" si="170"/>
        <v>MUH.NA.05</v>
      </c>
      <c r="AU214" s="17">
        <f>MATCH(AU$88&amp;"."&amp;AT214,Tab.Measure.f.Default!$A:$A,0)</f>
        <v>40</v>
      </c>
      <c r="AV214" s="21">
        <f ca="1">OFFSET(Tab.Measure.f.Default!$A$1,AU214-1,MATCH(AV$87&amp;"_"&amp;$J214,Tab.Measure.f.Default!$1:$1,0)-1)</f>
        <v>0.37</v>
      </c>
      <c r="AW214" s="30">
        <f t="shared" si="114"/>
        <v>0.8</v>
      </c>
      <c r="AX214" s="9">
        <f t="shared" ca="1" si="171"/>
        <v>0.83333333333333337</v>
      </c>
      <c r="AY214" s="9">
        <f t="shared" ca="1" si="172"/>
        <v>3.4285714285714279</v>
      </c>
      <c r="AZ214" s="9">
        <f t="shared" ca="1" si="153"/>
        <v>4.261904761904761</v>
      </c>
      <c r="BA214" s="9">
        <f t="shared" ca="1" si="154"/>
        <v>0.23463687150837995</v>
      </c>
      <c r="BB214" s="9">
        <f t="shared" ca="1" si="173"/>
        <v>0.42770949720670393</v>
      </c>
      <c r="BC214" s="32" t="str">
        <f t="shared" si="174"/>
        <v>D</v>
      </c>
      <c r="BD214" s="20" t="str">
        <f ca="1">OFFSET(Tab.Uncertainty.Levels!$A$1,MATCH(BD$88,Tab.Uncertainty.Levels!$A:$A,0)-1,MATCH(BD$87&amp;"_"&amp;BC214,Tab.Uncertainty.Levels!$1:$1,0)-1)</f>
        <v>Use of default values; building constructed until 1983</v>
      </c>
      <c r="BE214" s="24">
        <f ca="1">OFFSET(Tab.Uncertainty.Levels!$A$1,MATCH(BE$88,Tab.Uncertainty.Levels!$A:$A,0)-1,MATCH(BE$87&amp;"_"&amp;BC214,Tab.Uncertainty.Levels!$1:$1,0)-1)</f>
        <v>0.3</v>
      </c>
      <c r="BF214" s="32" t="str">
        <f t="shared" si="175"/>
        <v>-</v>
      </c>
      <c r="BG214" s="20" t="e">
        <f ca="1">OFFSET(Tab.Uncertainty.Levels!$A$1,MATCH(BG$88,Tab.Uncertainty.Levels!$A:$A,0)-1,MATCH(BG$87&amp;"_"&amp;BF214,Tab.Uncertainty.Levels!$1:$1,0)-1)</f>
        <v>#N/A</v>
      </c>
      <c r="BH214" s="24" t="e">
        <f ca="1">OFFSET(Tab.Uncertainty.Levels!$A$1,MATCH(BH$88,Tab.Uncertainty.Levels!$A:$A,0)-1,MATCH(BH$87&amp;"_"&amp;BF214,Tab.Uncertainty.Levels!$1:$1,0)-1)</f>
        <v>#N/A</v>
      </c>
      <c r="BI214" s="32" t="str">
        <f t="shared" si="137"/>
        <v>D</v>
      </c>
      <c r="BJ214" s="13">
        <f ca="1">IF(BF214="-",BE214,BH214)</f>
        <v>0.3</v>
      </c>
      <c r="BK214" s="32" t="str">
        <f>IF(OR($L214="NoDataSource",IFERROR(IF($S214="",#N/A,$S214),0)=0),IF(IFERROR(IF(U214="",#N/A,U214),0)=0,"E","D"),IF($L214="DesignDataPlusQA","A",IF($L214="DesignData","B","C")))</f>
        <v>B</v>
      </c>
      <c r="BL214" s="20" t="str">
        <f ca="1">OFFSET(Tab.Uncertainty.Levels!$A$1,MATCH(BL$88,Tab.Uncertainty.Levels!$A:$A,0)-1,MATCH(BL$87&amp;"_"&amp;BK214,Tab.Uncertainty.Levels!$1:$1,0)-1)</f>
        <v>Insulation thickness from design data</v>
      </c>
      <c r="BM214" s="24">
        <f ca="1">OFFSET(Tab.Uncertainty.Levels!$A$1,MATCH(BM$88,Tab.Uncertainty.Levels!$A:$A,0)-1,MATCH(BM$87&amp;"_"&amp;BK214,Tab.Uncertainty.Levels!$1:$1,0)-1)</f>
        <v>0.1</v>
      </c>
      <c r="BN214" s="34">
        <f ca="1">OFFSET(Tab.Uncertainty.Levels!$A$1,MATCH(BN$88,Tab.Uncertainty.Levels!$A:$A,0)-1,MATCH(BN$87&amp;"_"&amp;BK214,Tab.Uncertainty.Levels!$1:$1,0)-1)</f>
        <v>1</v>
      </c>
      <c r="BO214" s="13">
        <f ca="1">IFERROR(MIN(BM214,BN214/AN214),0)</f>
        <v>8.3333333333333329E-2</v>
      </c>
      <c r="BP214" s="32" t="str">
        <f>IF(OR($L214="NoDataSource",IFERROR(IF($V214="",#N/A,$V214),0)=0),IF(IFERROR(IF(U214="",#N/A,U214),0)=0,"E","D"),IF($L214="DesignDataPlusQA","A",IF($L214="DesignData","B","C")))</f>
        <v>D</v>
      </c>
      <c r="BQ214" s="20" t="str">
        <f ca="1">OFFSET(Tab.Uncertainty.Levels!$A$1,MATCH(BQ$88,Tab.Uncertainty.Levels!$A:$A,0)-1,MATCH(BQ$87&amp;"_"&amp;BP214,Tab.Uncertainty.Levels!$1:$1,0)-1)</f>
        <v>Insulation available; no information about material</v>
      </c>
      <c r="BR214" s="97">
        <f ca="1">OFFSET(Tab.Uncertainty.Levels!$A$1,MATCH(BR$88,Tab.Uncertainty.Levels!$A:$A,0)-1,MATCH(BR$87&amp;"_"&amp;BP214,Tab.Uncertainty.Levels!$1:$1,0)-1)</f>
        <v>0.2</v>
      </c>
      <c r="BS214" s="32" t="str">
        <f>IF(L214="NoDataSource","D",IF(IFERROR(IF($T214="",#N/A,$T214),0)=0,IF(OR(IFERROR(IF($S214="",#N/A,$S214),0)&gt;0,$R214="Refurbish"),"D","E"),IF($L214="DesignDataPlusQA","A",IF($L214="DesignData","B","C"))))</f>
        <v>B</v>
      </c>
      <c r="BT214" s="20" t="str">
        <f ca="1">OFFSET(Tab.Uncertainty.Levels!$A$1,MATCH(BT$88,Tab.Uncertainty.Levels!$A:$A,0)-1,MATCH(BT$87&amp;"_"&amp;BS214,Tab.Uncertainty.Levels!$1:$1,0)-1)</f>
        <v>Insulation fraction from design data</v>
      </c>
      <c r="BU214" s="33">
        <f ca="1">OFFSET(Tab.Uncertainty.Levels!$A$1,MATCH(BU$88,Tab.Uncertainty.Levels!$A:$A,0)-1,MATCH(BU$87&amp;"_"&amp;BS214,Tab.Uncertainty.Levels!$1:$1,0)-1)</f>
        <v>0.1</v>
      </c>
      <c r="BV214" s="13">
        <f ca="1">IFERROR(MIN(BU214/AW214,1,(1-AW214)/AW214),0)</f>
        <v>0.125</v>
      </c>
      <c r="BW214" s="96">
        <f ca="1">ABS(1+(AW214*(1/(1+AN214/100/AP214*AG214)^2-1)))*BJ214*$AG214</f>
        <v>8.3010892294247976E-2</v>
      </c>
      <c r="BX214" s="96">
        <f ca="1">ABS(-AG214+1/(1/AG214+AN214/100/AP214))*BV214*AW214</f>
        <v>9.6536312849162004E-2</v>
      </c>
      <c r="BY214" s="96">
        <f ca="1">ABS(-AW214*AP214/((AP214/AG214+AN214/100)^2))*(BO214*AN214/100)</f>
        <v>1.2583876907711995E-2</v>
      </c>
      <c r="BZ214" s="202">
        <f ca="1">ABS(AW214*AN214/100/(1/AG214*AP214+AN214/100)^2)*(BR214*AP214)</f>
        <v>3.0201304578508798E-2</v>
      </c>
      <c r="CA214" s="103">
        <f t="shared" ca="1" si="117"/>
        <v>0.13145547038549146</v>
      </c>
      <c r="CB214" s="37">
        <f t="shared" ca="1" si="176"/>
        <v>0.19408241536925794</v>
      </c>
      <c r="CC214" s="37">
        <f t="shared" ca="1" si="177"/>
        <v>0.225705329153605</v>
      </c>
      <c r="CD214" s="37">
        <f t="shared" ca="1" si="178"/>
        <v>2.9421551286317228E-2</v>
      </c>
      <c r="CE214" s="37">
        <f t="shared" ca="1" si="179"/>
        <v>7.0611723087161377E-2</v>
      </c>
      <c r="CF214" s="13">
        <f t="shared" ca="1" si="180"/>
        <v>0.30734756007057173</v>
      </c>
      <c r="CG214" s="101">
        <f ca="1">AG214</f>
        <v>1.2</v>
      </c>
      <c r="CH214" s="101">
        <f>AW214</f>
        <v>0.8</v>
      </c>
      <c r="CI214" s="203">
        <f>IF(CH214&gt;0,AN214,0)</f>
        <v>12</v>
      </c>
      <c r="CJ214" s="102">
        <f ca="1">IF(AND(CH214&gt;0,CI214&gt;0),AP214,0)</f>
        <v>3.5000000000000003E-2</v>
      </c>
      <c r="CK214" s="102">
        <f ca="1">BB214</f>
        <v>0.42770949720670393</v>
      </c>
      <c r="CL214" s="37">
        <f t="shared" ca="1" si="156"/>
        <v>0.3</v>
      </c>
      <c r="CM214" s="37">
        <f t="shared" ca="1" si="157"/>
        <v>0.125</v>
      </c>
      <c r="CN214" s="37">
        <f t="shared" ca="1" si="158"/>
        <v>8.3333333333333329E-2</v>
      </c>
      <c r="CO214" s="37">
        <f t="shared" ca="1" si="159"/>
        <v>0.2</v>
      </c>
      <c r="CP214" s="37">
        <f t="shared" ca="1" si="160"/>
        <v>0.30734756007057173</v>
      </c>
      <c r="CQ214" s="95">
        <f t="shared" ca="1" si="161"/>
        <v>0.36</v>
      </c>
      <c r="CR214" s="95">
        <f t="shared" ca="1" si="162"/>
        <v>0.1</v>
      </c>
      <c r="CS214" s="95">
        <f t="shared" ca="1" si="163"/>
        <v>1</v>
      </c>
      <c r="CT214" s="103">
        <f t="shared" ca="1" si="164"/>
        <v>7.000000000000001E-3</v>
      </c>
      <c r="CU214" s="95">
        <f t="shared" ca="1" si="165"/>
        <v>0.13145547038549146</v>
      </c>
      <c r="CV214" s="37">
        <f ca="1">$CB214^2/$CF214^2</f>
        <v>0.39876114766315218</v>
      </c>
      <c r="CW214" s="37">
        <f ca="1">$CD214^2/$CF214^2</f>
        <v>9.163715466434897E-3</v>
      </c>
      <c r="CX214" s="37">
        <f ca="1">$CE214^2/$CF214^2</f>
        <v>5.2783001086665053E-2</v>
      </c>
      <c r="CY214" s="37">
        <f ca="1">$CC214^2/$CF214^2</f>
        <v>0.53929213578374779</v>
      </c>
      <c r="DA214" s="98" t="s">
        <v>214</v>
      </c>
      <c r="DB214" s="36">
        <f ca="1">OFFSET($A$1,ROW(DB214)-1,MATCH(DA214,$1:$1,0)-1)</f>
        <v>12</v>
      </c>
      <c r="DC214" s="9">
        <f ca="1">BB214</f>
        <v>0.42770949720670393</v>
      </c>
      <c r="DD214" s="9">
        <f ca="1">$DC214+$CA214</f>
        <v>0.55916496759219536</v>
      </c>
      <c r="DE214" s="9">
        <f ca="1">$DC214-$CA214</f>
        <v>0.29625402682121249</v>
      </c>
      <c r="DF214" s="10">
        <f t="shared" ca="1" si="181"/>
        <v>0.30734756007057168</v>
      </c>
    </row>
    <row r="215" spans="1:110" s="8" customFormat="1" ht="32.4" customHeight="1">
      <c r="A215" s="206" t="s">
        <v>651</v>
      </c>
      <c r="B215" s="209" t="s">
        <v>2345</v>
      </c>
      <c r="C215" s="206" t="str">
        <f t="shared" si="151"/>
        <v>Parameter-Variation: Code_DataSources = InspectionOnsite</v>
      </c>
      <c r="D215" s="206"/>
      <c r="E215" s="206" t="s">
        <v>202</v>
      </c>
      <c r="F215" s="206" t="str">
        <f t="shared" si="185"/>
        <v>InspectionOnsite</v>
      </c>
      <c r="G215" s="206" t="s">
        <v>2170</v>
      </c>
      <c r="H215" s="206" t="s">
        <v>2171</v>
      </c>
      <c r="I215" s="156" t="s">
        <v>80</v>
      </c>
      <c r="J215" s="156" t="s">
        <v>134</v>
      </c>
      <c r="K215" s="156" t="s">
        <v>155</v>
      </c>
      <c r="L215" s="156" t="s">
        <v>66</v>
      </c>
      <c r="M215" s="156" t="s">
        <v>188</v>
      </c>
      <c r="N215" s="7">
        <v>1960</v>
      </c>
      <c r="O215" s="156">
        <v>1</v>
      </c>
      <c r="P215" s="156">
        <v>0</v>
      </c>
      <c r="Q215" s="156" t="s">
        <v>435</v>
      </c>
      <c r="R215" s="156" t="s">
        <v>58</v>
      </c>
      <c r="S215" s="19">
        <v>12</v>
      </c>
      <c r="T215" s="19">
        <v>0.8</v>
      </c>
      <c r="U215" s="19">
        <v>2016</v>
      </c>
      <c r="V215" s="19" t="e">
        <v>#N/A</v>
      </c>
      <c r="W215" s="28" t="s">
        <v>59</v>
      </c>
      <c r="X215" s="19" t="e">
        <v>#N/A</v>
      </c>
      <c r="Y215" s="105">
        <f ca="1">IFERROR(OFFSET(Tab.Const.ConstrBorder!$A$1,MATCH(Q215,Tab.Const.ConstrBorder!$A:$A,0)-1,MATCH(Y$87,Tab.Const.ConstrBorder!$1:$1,0)-1),0)</f>
        <v>0</v>
      </c>
      <c r="Z215" s="18">
        <f t="shared" si="110"/>
        <v>1960</v>
      </c>
      <c r="AA215" s="17">
        <f>MATCH(Z215,Tab.Year.Period!$11:$11,1)-3</f>
        <v>5</v>
      </c>
      <c r="AB215" s="17">
        <f>MATCH(AB$88&amp;"."&amp;TEXT(AA215,"00"),Tab.U.Default!$A:$A,0)</f>
        <v>28</v>
      </c>
      <c r="AC215" s="105">
        <f ca="1">OFFSET(Tab.U.Default!$A$1,$AB215-1,MATCH("U_Class_"&amp;IF($J215="TopCeiling","UpperCeiling",$J215)&amp;"_"&amp;AC$87,Tab.U.Default!$1:$1,0)-1)</f>
        <v>1.2</v>
      </c>
      <c r="AD215" s="105">
        <f ca="1">OFFSET(Tab.U.Default!$A$1,$AB215-1,MATCH("U_Class_"&amp;IF($J215="TopCeiling","UpperCeiling",$J215)&amp;"_"&amp;AD$87,Tab.U.Default!$1:$1,0)-1)</f>
        <v>1.2</v>
      </c>
      <c r="AE215" s="105">
        <f ca="1">OFFSET(Tab.U.Default!$A$1,$AB215-1,MATCH("U_Class_"&amp;IF($J215="TopCeiling","UpperCeiling",$J215)&amp;"_"&amp;AE$87,Tab.U.Default!$1:$1,0)-1)</f>
        <v>0.8</v>
      </c>
      <c r="AF215" s="26">
        <f t="shared" ca="1" si="96"/>
        <v>1.2</v>
      </c>
      <c r="AG215" s="26">
        <f t="shared" ca="1" si="155"/>
        <v>1.2</v>
      </c>
      <c r="AH215" s="18" t="str">
        <f t="shared" si="168"/>
        <v>Refurbish</v>
      </c>
      <c r="AI215" s="18" t="str">
        <f t="shared" si="111"/>
        <v>Add</v>
      </c>
      <c r="AJ215" s="18">
        <f t="shared" si="98"/>
        <v>2016</v>
      </c>
      <c r="AK215" s="17">
        <f>MATCH(AJ215,Tab.Year.Period!$11:$11,1)-3</f>
        <v>12</v>
      </c>
      <c r="AL215" s="17">
        <f>MATCH(AL$88&amp;"."&amp;TEXT(AK215,"00"),Tab.Insulation.Default!$A:$A,0)</f>
        <v>23</v>
      </c>
      <c r="AM215" s="20" t="e">
        <f ca="1">IF(ISNA(IF(S215="",#N/A,S215)),OFFSET(Tab.Insulation.Default!$A$1,$AL215-1,MATCH(AM$87&amp;"_"&amp;$K215,Tab.Insulation.Default!$1:$1,0)-1),#N/A)</f>
        <v>#N/A</v>
      </c>
      <c r="AN215" s="27">
        <f t="shared" si="112"/>
        <v>12</v>
      </c>
      <c r="AO215" s="22">
        <f ca="1">IF(ISNA(IF(V215="",#N/A,V215)),OFFSET(Tab.Insulation.Default!$A$1,$AL215-1,MATCH(AO$87&amp;"_"&amp;$K215,Tab.Insulation.Default!$1:$1,0)-1),#N/A)</f>
        <v>3.5000000000000003E-2</v>
      </c>
      <c r="AP215" s="23">
        <f t="shared" ca="1" si="113"/>
        <v>3.5000000000000003E-2</v>
      </c>
      <c r="AQ215" s="29" t="str">
        <f t="shared" si="169"/>
        <v>Gen.Refurbished.12</v>
      </c>
      <c r="AR215" s="17">
        <f>MATCH(AR$88&amp;"."&amp;AQ215,Tab.Measure.f.Default!$A:$A,0)</f>
        <v>23</v>
      </c>
      <c r="AS215" s="21">
        <f ca="1">OFFSET(Tab.Measure.f.Default!$A$1,AR215-1,MATCH(AS$87&amp;"_"&amp;$J215,Tab.Measure.f.Default!$1:$1,0)-1)</f>
        <v>0.75</v>
      </c>
      <c r="AT215" s="29" t="str">
        <f t="shared" si="170"/>
        <v>MUH.NA.05</v>
      </c>
      <c r="AU215" s="17">
        <f>MATCH(AU$88&amp;"."&amp;AT215,Tab.Measure.f.Default!$A:$A,0)</f>
        <v>40</v>
      </c>
      <c r="AV215" s="21">
        <f ca="1">OFFSET(Tab.Measure.f.Default!$A$1,AU215-1,MATCH(AV$87&amp;"_"&amp;$J215,Tab.Measure.f.Default!$1:$1,0)-1)</f>
        <v>0.37</v>
      </c>
      <c r="AW215" s="30">
        <f t="shared" si="114"/>
        <v>0.8</v>
      </c>
      <c r="AX215" s="9">
        <f t="shared" ca="1" si="171"/>
        <v>0.83333333333333337</v>
      </c>
      <c r="AY215" s="9">
        <f t="shared" ca="1" si="172"/>
        <v>3.4285714285714279</v>
      </c>
      <c r="AZ215" s="9">
        <f t="shared" ca="1" si="153"/>
        <v>4.261904761904761</v>
      </c>
      <c r="BA215" s="9">
        <f t="shared" ca="1" si="154"/>
        <v>0.23463687150837995</v>
      </c>
      <c r="BB215" s="9">
        <f t="shared" ca="1" si="173"/>
        <v>0.42770949720670393</v>
      </c>
      <c r="BC215" s="32" t="str">
        <f t="shared" si="174"/>
        <v>D</v>
      </c>
      <c r="BD215" s="20" t="str">
        <f ca="1">OFFSET(Tab.Uncertainty.Levels!$A$1,MATCH(BD$88,Tab.Uncertainty.Levels!$A:$A,0)-1,MATCH(BD$87&amp;"_"&amp;BC215,Tab.Uncertainty.Levels!$1:$1,0)-1)</f>
        <v>Use of default values; building constructed until 1983</v>
      </c>
      <c r="BE215" s="24">
        <f ca="1">OFFSET(Tab.Uncertainty.Levels!$A$1,MATCH(BE$88,Tab.Uncertainty.Levels!$A:$A,0)-1,MATCH(BE$87&amp;"_"&amp;BC215,Tab.Uncertainty.Levels!$1:$1,0)-1)</f>
        <v>0.3</v>
      </c>
      <c r="BF215" s="32" t="str">
        <f t="shared" si="175"/>
        <v>-</v>
      </c>
      <c r="BG215" s="20" t="e">
        <f ca="1">OFFSET(Tab.Uncertainty.Levels!$A$1,MATCH(BG$88,Tab.Uncertainty.Levels!$A:$A,0)-1,MATCH(BG$87&amp;"_"&amp;BF215,Tab.Uncertainty.Levels!$1:$1,0)-1)</f>
        <v>#N/A</v>
      </c>
      <c r="BH215" s="24" t="e">
        <f ca="1">OFFSET(Tab.Uncertainty.Levels!$A$1,MATCH(BH$88,Tab.Uncertainty.Levels!$A:$A,0)-1,MATCH(BH$87&amp;"_"&amp;BF215,Tab.Uncertainty.Levels!$1:$1,0)-1)</f>
        <v>#N/A</v>
      </c>
      <c r="BI215" s="32" t="str">
        <f t="shared" si="137"/>
        <v>D</v>
      </c>
      <c r="BJ215" s="13">
        <f ca="1">IF(BF215="-",BE215,BH215)</f>
        <v>0.3</v>
      </c>
      <c r="BK215" s="32" t="str">
        <f>IF(OR($L215="NoDataSource",IFERROR(IF($S215="",#N/A,$S215),0)=0),IF(IFERROR(IF(U215="",#N/A,U215),0)=0,"E","D"),IF($L215="DesignDataPlusQA","A",IF($L215="DesignData","B","C")))</f>
        <v>C</v>
      </c>
      <c r="BL215" s="20" t="str">
        <f ca="1">OFFSET(Tab.Uncertainty.Levels!$A$1,MATCH(BL$88,Tab.Uncertainty.Levels!$A:$A,0)-1,MATCH(BL$87&amp;"_"&amp;BK215,Tab.Uncertainty.Levels!$1:$1,0)-1)</f>
        <v>Insulation thickness determined by inspection onsite / record or statement of owner</v>
      </c>
      <c r="BM215" s="24">
        <f ca="1">OFFSET(Tab.Uncertainty.Levels!$A$1,MATCH(BM$88,Tab.Uncertainty.Levels!$A:$A,0)-1,MATCH(BM$87&amp;"_"&amp;BK215,Tab.Uncertainty.Levels!$1:$1,0)-1)</f>
        <v>0.25</v>
      </c>
      <c r="BN215" s="34">
        <f ca="1">OFFSET(Tab.Uncertainty.Levels!$A$1,MATCH(BN$88,Tab.Uncertainty.Levels!$A:$A,0)-1,MATCH(BN$87&amp;"_"&amp;BK215,Tab.Uncertainty.Levels!$1:$1,0)-1)</f>
        <v>2</v>
      </c>
      <c r="BO215" s="13">
        <f ca="1">IFERROR(MIN(BM215,BN215/AN215),0)</f>
        <v>0.16666666666666666</v>
      </c>
      <c r="BP215" s="32" t="str">
        <f>IF(OR($L215="NoDataSource",IFERROR(IF($V215="",#N/A,$V215),0)=0),IF(IFERROR(IF(U215="",#N/A,U215),0)=0,"E","D"),IF($L215="DesignDataPlusQA","A",IF($L215="DesignData","B","C")))</f>
        <v>D</v>
      </c>
      <c r="BQ215" s="20" t="str">
        <f ca="1">OFFSET(Tab.Uncertainty.Levels!$A$1,MATCH(BQ$88,Tab.Uncertainty.Levels!$A:$A,0)-1,MATCH(BQ$87&amp;"_"&amp;BP215,Tab.Uncertainty.Levels!$1:$1,0)-1)</f>
        <v>Insulation available; no information about material</v>
      </c>
      <c r="BR215" s="97">
        <f ca="1">OFFSET(Tab.Uncertainty.Levels!$A$1,MATCH(BR$88,Tab.Uncertainty.Levels!$A:$A,0)-1,MATCH(BR$87&amp;"_"&amp;BP215,Tab.Uncertainty.Levels!$1:$1,0)-1)</f>
        <v>0.2</v>
      </c>
      <c r="BS215" s="32" t="str">
        <f>IF(L215="NoDataSource","D",IF(IFERROR(IF($T215="",#N/A,$T215),0)=0,IF(OR(IFERROR(IF($S215="",#N/A,$S215),0)&gt;0,$R215="Refurbish"),"D","E"),IF($L215="DesignDataPlusQA","A",IF($L215="DesignData","B","C"))))</f>
        <v>C</v>
      </c>
      <c r="BT215" s="20" t="str">
        <f ca="1">OFFSET(Tab.Uncertainty.Levels!$A$1,MATCH(BT$88,Tab.Uncertainty.Levels!$A:$A,0)-1,MATCH(BT$87&amp;"_"&amp;BS215,Tab.Uncertainty.Levels!$1:$1,0)-1)</f>
        <v>Insulation fraction determined by inspection onsite / record or statement of owner</v>
      </c>
      <c r="BU215" s="33">
        <f ca="1">OFFSET(Tab.Uncertainty.Levels!$A$1,MATCH(BU$88,Tab.Uncertainty.Levels!$A:$A,0)-1,MATCH(BU$87&amp;"_"&amp;BS215,Tab.Uncertainty.Levels!$1:$1,0)-1)</f>
        <v>0.2</v>
      </c>
      <c r="BV215" s="13">
        <f ca="1">IFERROR(MIN(BU215/AW215,1,(1-AW215)/AW215),0)</f>
        <v>0.24999999999999994</v>
      </c>
      <c r="BW215" s="96">
        <f ca="1">ABS(1+(AW215*(1/(1+AN215/100/AP215*AG215)^2-1)))*BJ215*$AG215</f>
        <v>8.3010892294247976E-2</v>
      </c>
      <c r="BX215" s="96">
        <f ca="1">ABS(-AG215+1/(1/AG215+AN215/100/AP215))*BV215*AW215</f>
        <v>0.19307262569832395</v>
      </c>
      <c r="BY215" s="96">
        <f ca="1">ABS(-AW215*AP215/((AP215/AG215+AN215/100)^2))*(BO215*AN215/100)</f>
        <v>2.516775381542399E-2</v>
      </c>
      <c r="BZ215" s="202">
        <f ca="1">ABS(AW215*AN215/100/(1/AG215*AP215+AN215/100)^2)*(BR215*AP215)</f>
        <v>3.0201304578508798E-2</v>
      </c>
      <c r="CA215" s="103">
        <f t="shared" ca="1" si="117"/>
        <v>0.21380687936521123</v>
      </c>
      <c r="CB215" s="37">
        <f t="shared" ca="1" si="176"/>
        <v>0.19408241536925794</v>
      </c>
      <c r="CC215" s="37">
        <f t="shared" ca="1" si="177"/>
        <v>0.45141065830720983</v>
      </c>
      <c r="CD215" s="37">
        <f t="shared" ca="1" si="178"/>
        <v>5.8843102572634455E-2</v>
      </c>
      <c r="CE215" s="37">
        <f t="shared" ca="1" si="179"/>
        <v>7.0611723087161377E-2</v>
      </c>
      <c r="CF215" s="13">
        <f t="shared" ca="1" si="180"/>
        <v>0.49988808002054347</v>
      </c>
      <c r="CG215" s="101">
        <f ca="1">AG215</f>
        <v>1.2</v>
      </c>
      <c r="CH215" s="101">
        <f>AW215</f>
        <v>0.8</v>
      </c>
      <c r="CI215" s="203">
        <f>IF(CH215&gt;0,AN215,0)</f>
        <v>12</v>
      </c>
      <c r="CJ215" s="102">
        <f ca="1">IF(AND(CH215&gt;0,CI215&gt;0),AP215,0)</f>
        <v>3.5000000000000003E-2</v>
      </c>
      <c r="CK215" s="102">
        <f ca="1">BB215</f>
        <v>0.42770949720670393</v>
      </c>
      <c r="CL215" s="37">
        <f t="shared" ca="1" si="156"/>
        <v>0.3</v>
      </c>
      <c r="CM215" s="37">
        <f t="shared" ca="1" si="157"/>
        <v>0.24999999999999994</v>
      </c>
      <c r="CN215" s="37">
        <f t="shared" ca="1" si="158"/>
        <v>0.16666666666666666</v>
      </c>
      <c r="CO215" s="37">
        <f t="shared" ca="1" si="159"/>
        <v>0.2</v>
      </c>
      <c r="CP215" s="37">
        <f t="shared" ca="1" si="160"/>
        <v>0.49988808002054347</v>
      </c>
      <c r="CQ215" s="95">
        <f t="shared" ca="1" si="161"/>
        <v>0.36</v>
      </c>
      <c r="CR215" s="95">
        <f t="shared" ca="1" si="162"/>
        <v>0.19999999999999996</v>
      </c>
      <c r="CS215" s="95">
        <f t="shared" ca="1" si="163"/>
        <v>2</v>
      </c>
      <c r="CT215" s="103">
        <f t="shared" ca="1" si="164"/>
        <v>7.000000000000001E-3</v>
      </c>
      <c r="CU215" s="95">
        <f t="shared" ca="1" si="165"/>
        <v>0.21380687936521123</v>
      </c>
      <c r="CV215" s="37">
        <f ca="1">$CB215^2/$CF215^2</f>
        <v>0.15073941127681745</v>
      </c>
      <c r="CW215" s="37">
        <f ca="1">$CD215^2/$CF215^2</f>
        <v>1.3856245350016141E-2</v>
      </c>
      <c r="CX215" s="37">
        <f ca="1">$CE215^2/$CF215^2</f>
        <v>1.995299330402326E-2</v>
      </c>
      <c r="CY215" s="37">
        <f ca="1">$CC215^2/$CF215^2</f>
        <v>0.81545135006914304</v>
      </c>
      <c r="DA215" s="98" t="s">
        <v>214</v>
      </c>
      <c r="DB215" s="36">
        <f ca="1">OFFSET($A$1,ROW(DB215)-1,MATCH(DA215,$1:$1,0)-1)</f>
        <v>12</v>
      </c>
      <c r="DC215" s="9">
        <f ca="1">BB215</f>
        <v>0.42770949720670393</v>
      </c>
      <c r="DD215" s="9">
        <f ca="1">$DC215+$CA215</f>
        <v>0.64151637657191518</v>
      </c>
      <c r="DE215" s="9">
        <f ca="1">$DC215-$CA215</f>
        <v>0.2139026178414927</v>
      </c>
      <c r="DF215" s="10">
        <f t="shared" ca="1" si="181"/>
        <v>0.49988808002054352</v>
      </c>
    </row>
    <row r="216" spans="1:110" s="8" customFormat="1" ht="32.4" customHeight="1">
      <c r="A216" s="206" t="s">
        <v>652</v>
      </c>
      <c r="B216" s="209" t="s">
        <v>2345</v>
      </c>
      <c r="C216" s="206" t="str">
        <f t="shared" si="151"/>
        <v>Parameter-Variation: Code_DataSources = RecordsStatementOwner</v>
      </c>
      <c r="D216" s="206"/>
      <c r="E216" s="206" t="s">
        <v>202</v>
      </c>
      <c r="F216" s="206" t="str">
        <f t="shared" si="185"/>
        <v>RecordsStatementOwner</v>
      </c>
      <c r="G216" s="206" t="s">
        <v>2170</v>
      </c>
      <c r="H216" s="206" t="s">
        <v>2171</v>
      </c>
      <c r="I216" s="156" t="s">
        <v>80</v>
      </c>
      <c r="J216" s="156" t="s">
        <v>134</v>
      </c>
      <c r="K216" s="156" t="s">
        <v>155</v>
      </c>
      <c r="L216" s="156" t="s">
        <v>190</v>
      </c>
      <c r="M216" s="156" t="s">
        <v>188</v>
      </c>
      <c r="N216" s="7">
        <v>1960</v>
      </c>
      <c r="O216" s="156">
        <v>1</v>
      </c>
      <c r="P216" s="156">
        <v>0</v>
      </c>
      <c r="Q216" s="156" t="s">
        <v>435</v>
      </c>
      <c r="R216" s="156" t="s">
        <v>58</v>
      </c>
      <c r="S216" s="19">
        <v>12</v>
      </c>
      <c r="T216" s="19">
        <v>0.8</v>
      </c>
      <c r="U216" s="19">
        <v>2016</v>
      </c>
      <c r="V216" s="19" t="e">
        <v>#N/A</v>
      </c>
      <c r="W216" s="28" t="s">
        <v>59</v>
      </c>
      <c r="X216" s="19" t="e">
        <v>#N/A</v>
      </c>
      <c r="Y216" s="105">
        <f ca="1">IFERROR(OFFSET(Tab.Const.ConstrBorder!$A$1,MATCH(Q216,Tab.Const.ConstrBorder!$A:$A,0)-1,MATCH(Y$87,Tab.Const.ConstrBorder!$1:$1,0)-1),0)</f>
        <v>0</v>
      </c>
      <c r="Z216" s="18">
        <f t="shared" si="110"/>
        <v>1960</v>
      </c>
      <c r="AA216" s="17">
        <f>MATCH(Z216,Tab.Year.Period!$11:$11,1)-3</f>
        <v>5</v>
      </c>
      <c r="AB216" s="17">
        <f>MATCH(AB$88&amp;"."&amp;TEXT(AA216,"00"),Tab.U.Default!$A:$A,0)</f>
        <v>28</v>
      </c>
      <c r="AC216" s="105">
        <f ca="1">OFFSET(Tab.U.Default!$A$1,$AB216-1,MATCH("U_Class_"&amp;IF($J216="TopCeiling","UpperCeiling",$J216)&amp;"_"&amp;AC$87,Tab.U.Default!$1:$1,0)-1)</f>
        <v>1.2</v>
      </c>
      <c r="AD216" s="105">
        <f ca="1">OFFSET(Tab.U.Default!$A$1,$AB216-1,MATCH("U_Class_"&amp;IF($J216="TopCeiling","UpperCeiling",$J216)&amp;"_"&amp;AD$87,Tab.U.Default!$1:$1,0)-1)</f>
        <v>1.2</v>
      </c>
      <c r="AE216" s="105">
        <f ca="1">OFFSET(Tab.U.Default!$A$1,$AB216-1,MATCH("U_Class_"&amp;IF($J216="TopCeiling","UpperCeiling",$J216)&amp;"_"&amp;AE$87,Tab.U.Default!$1:$1,0)-1)</f>
        <v>0.8</v>
      </c>
      <c r="AF216" s="26">
        <f t="shared" ca="1" si="96"/>
        <v>1.2</v>
      </c>
      <c r="AG216" s="26">
        <f t="shared" ca="1" si="155"/>
        <v>1.2</v>
      </c>
      <c r="AH216" s="18" t="str">
        <f t="shared" si="168"/>
        <v>Refurbish</v>
      </c>
      <c r="AI216" s="18" t="str">
        <f t="shared" si="111"/>
        <v>Add</v>
      </c>
      <c r="AJ216" s="18">
        <f t="shared" si="98"/>
        <v>2016</v>
      </c>
      <c r="AK216" s="17">
        <f>MATCH(AJ216,Tab.Year.Period!$11:$11,1)-3</f>
        <v>12</v>
      </c>
      <c r="AL216" s="17">
        <f>MATCH(AL$88&amp;"."&amp;TEXT(AK216,"00"),Tab.Insulation.Default!$A:$A,0)</f>
        <v>23</v>
      </c>
      <c r="AM216" s="20" t="e">
        <f ca="1">IF(ISNA(IF(S216="",#N/A,S216)),OFFSET(Tab.Insulation.Default!$A$1,$AL216-1,MATCH(AM$87&amp;"_"&amp;$K216,Tab.Insulation.Default!$1:$1,0)-1),#N/A)</f>
        <v>#N/A</v>
      </c>
      <c r="AN216" s="27">
        <f t="shared" si="112"/>
        <v>12</v>
      </c>
      <c r="AO216" s="22">
        <f ca="1">IF(ISNA(IF(V216="",#N/A,V216)),OFFSET(Tab.Insulation.Default!$A$1,$AL216-1,MATCH(AO$87&amp;"_"&amp;$K216,Tab.Insulation.Default!$1:$1,0)-1),#N/A)</f>
        <v>3.5000000000000003E-2</v>
      </c>
      <c r="AP216" s="23">
        <f t="shared" ca="1" si="113"/>
        <v>3.5000000000000003E-2</v>
      </c>
      <c r="AQ216" s="29" t="str">
        <f t="shared" si="169"/>
        <v>Gen.Refurbished.12</v>
      </c>
      <c r="AR216" s="17">
        <f>MATCH(AR$88&amp;"."&amp;AQ216,Tab.Measure.f.Default!$A:$A,0)</f>
        <v>23</v>
      </c>
      <c r="AS216" s="21">
        <f ca="1">OFFSET(Tab.Measure.f.Default!$A$1,AR216-1,MATCH(AS$87&amp;"_"&amp;$J216,Tab.Measure.f.Default!$1:$1,0)-1)</f>
        <v>0.75</v>
      </c>
      <c r="AT216" s="29" t="str">
        <f t="shared" si="170"/>
        <v>MUH.NA.05</v>
      </c>
      <c r="AU216" s="17">
        <f>MATCH(AU$88&amp;"."&amp;AT216,Tab.Measure.f.Default!$A:$A,0)</f>
        <v>40</v>
      </c>
      <c r="AV216" s="21">
        <f ca="1">OFFSET(Tab.Measure.f.Default!$A$1,AU216-1,MATCH(AV$87&amp;"_"&amp;$J216,Tab.Measure.f.Default!$1:$1,0)-1)</f>
        <v>0.37</v>
      </c>
      <c r="AW216" s="30">
        <f t="shared" si="114"/>
        <v>0.8</v>
      </c>
      <c r="AX216" s="9">
        <f t="shared" ca="1" si="171"/>
        <v>0.83333333333333337</v>
      </c>
      <c r="AY216" s="9">
        <f t="shared" ca="1" si="172"/>
        <v>3.4285714285714279</v>
      </c>
      <c r="AZ216" s="9">
        <f t="shared" ca="1" si="153"/>
        <v>4.261904761904761</v>
      </c>
      <c r="BA216" s="9">
        <f t="shared" ca="1" si="154"/>
        <v>0.23463687150837995</v>
      </c>
      <c r="BB216" s="9">
        <f t="shared" ca="1" si="173"/>
        <v>0.42770949720670393</v>
      </c>
      <c r="BC216" s="32" t="str">
        <f t="shared" si="174"/>
        <v>D</v>
      </c>
      <c r="BD216" s="20" t="str">
        <f ca="1">OFFSET(Tab.Uncertainty.Levels!$A$1,MATCH(BD$88,Tab.Uncertainty.Levels!$A:$A,0)-1,MATCH(BD$87&amp;"_"&amp;BC216,Tab.Uncertainty.Levels!$1:$1,0)-1)</f>
        <v>Use of default values; building constructed until 1983</v>
      </c>
      <c r="BE216" s="24">
        <f ca="1">OFFSET(Tab.Uncertainty.Levels!$A$1,MATCH(BE$88,Tab.Uncertainty.Levels!$A:$A,0)-1,MATCH(BE$87&amp;"_"&amp;BC216,Tab.Uncertainty.Levels!$1:$1,0)-1)</f>
        <v>0.3</v>
      </c>
      <c r="BF216" s="32" t="str">
        <f t="shared" si="175"/>
        <v>-</v>
      </c>
      <c r="BG216" s="20" t="e">
        <f ca="1">OFFSET(Tab.Uncertainty.Levels!$A$1,MATCH(BG$88,Tab.Uncertainty.Levels!$A:$A,0)-1,MATCH(BG$87&amp;"_"&amp;BF216,Tab.Uncertainty.Levels!$1:$1,0)-1)</f>
        <v>#N/A</v>
      </c>
      <c r="BH216" s="24" t="e">
        <f ca="1">OFFSET(Tab.Uncertainty.Levels!$A$1,MATCH(BH$88,Tab.Uncertainty.Levels!$A:$A,0)-1,MATCH(BH$87&amp;"_"&amp;BF216,Tab.Uncertainty.Levels!$1:$1,0)-1)</f>
        <v>#N/A</v>
      </c>
      <c r="BI216" s="32" t="str">
        <f t="shared" si="137"/>
        <v>D</v>
      </c>
      <c r="BJ216" s="13">
        <f ca="1">IF(BF216="-",BE216,BH216)</f>
        <v>0.3</v>
      </c>
      <c r="BK216" s="32" t="str">
        <f>IF(OR($L216="NoDataSource",IFERROR(IF($S216="",#N/A,$S216),0)=0),IF(IFERROR(IF(U216="",#N/A,U216),0)=0,"E","D"),IF($L216="DesignDataPlusQA","A",IF($L216="DesignData","B","C")))</f>
        <v>C</v>
      </c>
      <c r="BL216" s="20" t="str">
        <f ca="1">OFFSET(Tab.Uncertainty.Levels!$A$1,MATCH(BL$88,Tab.Uncertainty.Levels!$A:$A,0)-1,MATCH(BL$87&amp;"_"&amp;BK216,Tab.Uncertainty.Levels!$1:$1,0)-1)</f>
        <v>Insulation thickness determined by inspection onsite / record or statement of owner</v>
      </c>
      <c r="BM216" s="24">
        <f ca="1">OFFSET(Tab.Uncertainty.Levels!$A$1,MATCH(BM$88,Tab.Uncertainty.Levels!$A:$A,0)-1,MATCH(BM$87&amp;"_"&amp;BK216,Tab.Uncertainty.Levels!$1:$1,0)-1)</f>
        <v>0.25</v>
      </c>
      <c r="BN216" s="34">
        <f ca="1">OFFSET(Tab.Uncertainty.Levels!$A$1,MATCH(BN$88,Tab.Uncertainty.Levels!$A:$A,0)-1,MATCH(BN$87&amp;"_"&amp;BK216,Tab.Uncertainty.Levels!$1:$1,0)-1)</f>
        <v>2</v>
      </c>
      <c r="BO216" s="13">
        <f ca="1">IFERROR(MIN(BM216,BN216/AN216),0)</f>
        <v>0.16666666666666666</v>
      </c>
      <c r="BP216" s="32" t="str">
        <f>IF(OR($L216="NoDataSource",IFERROR(IF($V216="",#N/A,$V216),0)=0),IF(IFERROR(IF(U216="",#N/A,U216),0)=0,"E","D"),IF($L216="DesignDataPlusQA","A",IF($L216="DesignData","B","C")))</f>
        <v>D</v>
      </c>
      <c r="BQ216" s="20" t="str">
        <f ca="1">OFFSET(Tab.Uncertainty.Levels!$A$1,MATCH(BQ$88,Tab.Uncertainty.Levels!$A:$A,0)-1,MATCH(BQ$87&amp;"_"&amp;BP216,Tab.Uncertainty.Levels!$1:$1,0)-1)</f>
        <v>Insulation available; no information about material</v>
      </c>
      <c r="BR216" s="97">
        <f ca="1">OFFSET(Tab.Uncertainty.Levels!$A$1,MATCH(BR$88,Tab.Uncertainty.Levels!$A:$A,0)-1,MATCH(BR$87&amp;"_"&amp;BP216,Tab.Uncertainty.Levels!$1:$1,0)-1)</f>
        <v>0.2</v>
      </c>
      <c r="BS216" s="32" t="str">
        <f>IF(L216="NoDataSource","D",IF(IFERROR(IF($T216="",#N/A,$T216),0)=0,IF(OR(IFERROR(IF($S216="",#N/A,$S216),0)&gt;0,$R216="Refurbish"),"D","E"),IF($L216="DesignDataPlusQA","A",IF($L216="DesignData","B","C"))))</f>
        <v>C</v>
      </c>
      <c r="BT216" s="20" t="str">
        <f ca="1">OFFSET(Tab.Uncertainty.Levels!$A$1,MATCH(BT$88,Tab.Uncertainty.Levels!$A:$A,0)-1,MATCH(BT$87&amp;"_"&amp;BS216,Tab.Uncertainty.Levels!$1:$1,0)-1)</f>
        <v>Insulation fraction determined by inspection onsite / record or statement of owner</v>
      </c>
      <c r="BU216" s="33">
        <f ca="1">OFFSET(Tab.Uncertainty.Levels!$A$1,MATCH(BU$88,Tab.Uncertainty.Levels!$A:$A,0)-1,MATCH(BU$87&amp;"_"&amp;BS216,Tab.Uncertainty.Levels!$1:$1,0)-1)</f>
        <v>0.2</v>
      </c>
      <c r="BV216" s="13">
        <f ca="1">IFERROR(MIN(BU216/AW216,1,(1-AW216)/AW216),0)</f>
        <v>0.24999999999999994</v>
      </c>
      <c r="BW216" s="96">
        <f ca="1">ABS(1+(AW216*(1/(1+AN216/100/AP216*AG216)^2-1)))*BJ216*$AG216</f>
        <v>8.3010892294247976E-2</v>
      </c>
      <c r="BX216" s="96">
        <f ca="1">ABS(-AG216+1/(1/AG216+AN216/100/AP216))*BV216*AW216</f>
        <v>0.19307262569832395</v>
      </c>
      <c r="BY216" s="96">
        <f ca="1">ABS(-AW216*AP216/((AP216/AG216+AN216/100)^2))*(BO216*AN216/100)</f>
        <v>2.516775381542399E-2</v>
      </c>
      <c r="BZ216" s="202">
        <f ca="1">ABS(AW216*AN216/100/(1/AG216*AP216+AN216/100)^2)*(BR216*AP216)</f>
        <v>3.0201304578508798E-2</v>
      </c>
      <c r="CA216" s="103">
        <f t="shared" ca="1" si="117"/>
        <v>0.21380687936521123</v>
      </c>
      <c r="CB216" s="37">
        <f t="shared" ca="1" si="176"/>
        <v>0.19408241536925794</v>
      </c>
      <c r="CC216" s="37">
        <f t="shared" ca="1" si="177"/>
        <v>0.45141065830720983</v>
      </c>
      <c r="CD216" s="37">
        <f t="shared" ca="1" si="178"/>
        <v>5.8843102572634455E-2</v>
      </c>
      <c r="CE216" s="37">
        <f t="shared" ca="1" si="179"/>
        <v>7.0611723087161377E-2</v>
      </c>
      <c r="CF216" s="13">
        <f t="shared" ca="1" si="180"/>
        <v>0.49988808002054347</v>
      </c>
      <c r="CG216" s="101">
        <f ca="1">AG216</f>
        <v>1.2</v>
      </c>
      <c r="CH216" s="101">
        <f>AW216</f>
        <v>0.8</v>
      </c>
      <c r="CI216" s="203">
        <f>IF(CH216&gt;0,AN216,0)</f>
        <v>12</v>
      </c>
      <c r="CJ216" s="102">
        <f ca="1">IF(AND(CH216&gt;0,CI216&gt;0),AP216,0)</f>
        <v>3.5000000000000003E-2</v>
      </c>
      <c r="CK216" s="102">
        <f ca="1">BB216</f>
        <v>0.42770949720670393</v>
      </c>
      <c r="CL216" s="37">
        <f t="shared" ca="1" si="156"/>
        <v>0.3</v>
      </c>
      <c r="CM216" s="37">
        <f t="shared" ca="1" si="157"/>
        <v>0.24999999999999994</v>
      </c>
      <c r="CN216" s="37">
        <f t="shared" ca="1" si="158"/>
        <v>0.16666666666666666</v>
      </c>
      <c r="CO216" s="37">
        <f t="shared" ca="1" si="159"/>
        <v>0.2</v>
      </c>
      <c r="CP216" s="37">
        <f t="shared" ca="1" si="160"/>
        <v>0.49988808002054347</v>
      </c>
      <c r="CQ216" s="95">
        <f t="shared" ca="1" si="161"/>
        <v>0.36</v>
      </c>
      <c r="CR216" s="95">
        <f t="shared" ca="1" si="162"/>
        <v>0.19999999999999996</v>
      </c>
      <c r="CS216" s="95">
        <f t="shared" ca="1" si="163"/>
        <v>2</v>
      </c>
      <c r="CT216" s="103">
        <f t="shared" ca="1" si="164"/>
        <v>7.000000000000001E-3</v>
      </c>
      <c r="CU216" s="95">
        <f t="shared" ca="1" si="165"/>
        <v>0.21380687936521123</v>
      </c>
      <c r="CV216" s="37">
        <f ca="1">$CB216^2/$CF216^2</f>
        <v>0.15073941127681745</v>
      </c>
      <c r="CW216" s="37">
        <f ca="1">$CD216^2/$CF216^2</f>
        <v>1.3856245350016141E-2</v>
      </c>
      <c r="CX216" s="37">
        <f ca="1">$CE216^2/$CF216^2</f>
        <v>1.995299330402326E-2</v>
      </c>
      <c r="CY216" s="37">
        <f ca="1">$CC216^2/$CF216^2</f>
        <v>0.81545135006914304</v>
      </c>
      <c r="DA216" s="98" t="s">
        <v>214</v>
      </c>
      <c r="DB216" s="36">
        <f ca="1">OFFSET($A$1,ROW(DB216)-1,MATCH(DA216,$1:$1,0)-1)</f>
        <v>12</v>
      </c>
      <c r="DC216" s="9">
        <f ca="1">BB216</f>
        <v>0.42770949720670393</v>
      </c>
      <c r="DD216" s="9">
        <f ca="1">$DC216+$CA216</f>
        <v>0.64151637657191518</v>
      </c>
      <c r="DE216" s="9">
        <f ca="1">$DC216-$CA216</f>
        <v>0.2139026178414927</v>
      </c>
      <c r="DF216" s="10">
        <f t="shared" ca="1" si="181"/>
        <v>0.49988808002054352</v>
      </c>
    </row>
    <row r="217" spans="1:110" s="8" customFormat="1" ht="32.4" customHeight="1">
      <c r="A217" s="206" t="s">
        <v>653</v>
      </c>
      <c r="B217" s="208" t="s">
        <v>2346</v>
      </c>
      <c r="C217" s="206" t="str">
        <f t="shared" ref="C217:C249" ca="1" si="186">E217&amp;" = "&amp;F217</f>
        <v>Parameter-Variation: U_Original = 0,80 W/(m²K) - Year_Building = NA</v>
      </c>
      <c r="D217" s="206"/>
      <c r="E217" s="206" t="s">
        <v>199</v>
      </c>
      <c r="F217" s="206" t="str">
        <f t="shared" ref="F217:F222" ca="1" si="187">TEXT(AG217,"0,00")&amp;" W/(m²K) - Year_Building = "&amp;IFERROR(N217,"NA")</f>
        <v>0,80 W/(m²K) - Year_Building = NA</v>
      </c>
      <c r="G217" s="206" t="s">
        <v>2170</v>
      </c>
      <c r="H217" s="206" t="s">
        <v>2171</v>
      </c>
      <c r="I217" s="156" t="s">
        <v>80</v>
      </c>
      <c r="J217" s="156" t="s">
        <v>134</v>
      </c>
      <c r="K217" s="156" t="s">
        <v>155</v>
      </c>
      <c r="L217" s="156" t="s">
        <v>66</v>
      </c>
      <c r="M217" s="156" t="s">
        <v>188</v>
      </c>
      <c r="N217" s="7" t="e">
        <v>#N/A</v>
      </c>
      <c r="O217" s="156">
        <v>0</v>
      </c>
      <c r="P217" s="156">
        <v>1</v>
      </c>
      <c r="Q217" s="156" t="s">
        <v>435</v>
      </c>
      <c r="R217" s="156" t="s">
        <v>58</v>
      </c>
      <c r="S217" s="19">
        <v>12</v>
      </c>
      <c r="T217" s="19">
        <v>0.5</v>
      </c>
      <c r="U217" s="19">
        <v>2016</v>
      </c>
      <c r="V217" s="19" t="e">
        <v>#N/A</v>
      </c>
      <c r="W217" s="28" t="s">
        <v>59</v>
      </c>
      <c r="X217" s="19" t="e">
        <v>#N/A</v>
      </c>
      <c r="Y217" s="105">
        <f ca="1">IFERROR(OFFSET(Tab.Const.ConstrBorder!$A$1,MATCH(Q217,Tab.Const.ConstrBorder!$A:$A,0)-1,MATCH(Y$87,Tab.Const.ConstrBorder!$1:$1,0)-1),0)</f>
        <v>0</v>
      </c>
      <c r="Z217" s="18">
        <f t="shared" ref="Z217:Z275" si="188">IFERROR(IF(OR(N217="",N217=0),#N/A,N217),Z$88)</f>
        <v>1963</v>
      </c>
      <c r="AA217" s="17">
        <f>MATCH(Z217,Tab.Year.Period!$11:$11,1)-3</f>
        <v>5</v>
      </c>
      <c r="AB217" s="17">
        <f>MATCH(AB$88&amp;"."&amp;TEXT(AA217,"00"),Tab.U.Default!$A:$A,0)</f>
        <v>28</v>
      </c>
      <c r="AC217" s="105">
        <f ca="1">OFFSET(Tab.U.Default!$A$1,$AB217-1,MATCH("U_Class_"&amp;IF($J217="TopCeiling","UpperCeiling",$J217)&amp;"_"&amp;AC$87,Tab.U.Default!$1:$1,0)-1)</f>
        <v>1.2</v>
      </c>
      <c r="AD217" s="105">
        <f ca="1">OFFSET(Tab.U.Default!$A$1,$AB217-1,MATCH("U_Class_"&amp;IF($J217="TopCeiling","UpperCeiling",$J217)&amp;"_"&amp;AD$87,Tab.U.Default!$1:$1,0)-1)</f>
        <v>1.2</v>
      </c>
      <c r="AE217" s="105">
        <f ca="1">OFFSET(Tab.U.Default!$A$1,$AB217-1,MATCH("U_Class_"&amp;IF($J217="TopCeiling","UpperCeiling",$J217)&amp;"_"&amp;AE$87,Tab.U.Default!$1:$1,0)-1)</f>
        <v>0.8</v>
      </c>
      <c r="AF217" s="26">
        <f t="shared" ref="AF217:AF274" ca="1" si="189">IF(AND(NOT(M217="Manual"),ISNA(IF(X217="",#N/A,X217))),IF(IFERROR(IF(O217="",#N/A,O217),0)=1,IF(IFERROR(IF(P217="",#N/A,P217),0)=1,AVERAGE(AD217:AE217),AD217),IF(IFERROR(IF(P217="",#N/A,P217),0)=1,AE217,AC217)),X217)</f>
        <v>0.8</v>
      </c>
      <c r="AG217" s="26">
        <f t="shared" ref="AG217:AG247" ca="1" si="190">1/(1/AF217+Y217)</f>
        <v>0.8</v>
      </c>
      <c r="AH217" s="18" t="str">
        <f t="shared" si="168"/>
        <v>Refurbish</v>
      </c>
      <c r="AI217" s="18" t="str">
        <f t="shared" ref="AI217:AI264" si="191">IF(W217&lt;&gt;"_NA_",W217,IF(R217="Original","ReplaceInsulation","Add"))</f>
        <v>Add</v>
      </c>
      <c r="AJ217" s="18">
        <f t="shared" ref="AJ217:AJ274" si="192">IFERROR(IF(U217="",#N/A,U217),IF(OR(Z217&gt;=AJ$88,R217="Original"),Z217,AJ$88))</f>
        <v>2016</v>
      </c>
      <c r="AK217" s="17">
        <f>MATCH(AJ217,Tab.Year.Period!$11:$11,1)-3</f>
        <v>12</v>
      </c>
      <c r="AL217" s="17">
        <f>MATCH(AL$88&amp;"."&amp;TEXT(AK217,"00"),Tab.Insulation.Default!$A:$A,0)</f>
        <v>23</v>
      </c>
      <c r="AM217" s="20" t="e">
        <f ca="1">IF(ISNA(IF(S217="",#N/A,S217)),OFFSET(Tab.Insulation.Default!$A$1,$AL217-1,MATCH(AM$87&amp;"_"&amp;$K217,Tab.Insulation.Default!$1:$1,0)-1),#N/A)</f>
        <v>#N/A</v>
      </c>
      <c r="AN217" s="27">
        <f t="shared" ref="AN217:AN275" si="193">IFERROR(IF(S217="",#N/A,S217),IF(OR(R217="Refurbish",R217="_NA_"),AM217,0))</f>
        <v>12</v>
      </c>
      <c r="AO217" s="22">
        <f ca="1">IF(ISNA(IF(V217="",#N/A,V217)),OFFSET(Tab.Insulation.Default!$A$1,$AL217-1,MATCH(AO$87&amp;"_"&amp;$K217,Tab.Insulation.Default!$1:$1,0)-1),#N/A)</f>
        <v>3.5000000000000003E-2</v>
      </c>
      <c r="AP217" s="23">
        <f t="shared" ref="AP217:AP275" ca="1" si="194">IFERROR(IF(V217="",#N/A,V217),AO217)</f>
        <v>3.5000000000000003E-2</v>
      </c>
      <c r="AQ217" s="29" t="str">
        <f t="shared" si="169"/>
        <v>Gen.Refurbished.12</v>
      </c>
      <c r="AR217" s="17">
        <f>MATCH(AR$88&amp;"."&amp;AQ217,Tab.Measure.f.Default!$A:$A,0)</f>
        <v>23</v>
      </c>
      <c r="AS217" s="21">
        <f ca="1">OFFSET(Tab.Measure.f.Default!$A$1,AR217-1,MATCH(AS$87&amp;"_"&amp;$J217,Tab.Measure.f.Default!$1:$1,0)-1)</f>
        <v>0.75</v>
      </c>
      <c r="AT217" s="29" t="str">
        <f t="shared" si="170"/>
        <v>MUH.NA.05</v>
      </c>
      <c r="AU217" s="17">
        <f>MATCH(AU$88&amp;"."&amp;AT217,Tab.Measure.f.Default!$A:$A,0)</f>
        <v>40</v>
      </c>
      <c r="AV217" s="21">
        <f ca="1">OFFSET(Tab.Measure.f.Default!$A$1,AU217-1,MATCH(AV$87&amp;"_"&amp;$J217,Tab.Measure.f.Default!$1:$1,0)-1)</f>
        <v>0.37</v>
      </c>
      <c r="AW217" s="30">
        <f t="shared" ref="AW217:AW275" si="195">IFERROR(IF(T217="",#N/A,T217),IF(R217="None",0,IF(R217="Refurbish",AS217,IF(R217="_NA_",IF(IFERROR(IF(S217="",#N/A,S217),0)&gt;=1,AS217,AV217),IF(IFERROR(IF(S217="",#N/A,S217),0)&gt;=1,1,0)))))</f>
        <v>0.5</v>
      </c>
      <c r="AX217" s="9">
        <f t="shared" ca="1" si="171"/>
        <v>1.25</v>
      </c>
      <c r="AY217" s="9">
        <f t="shared" ca="1" si="172"/>
        <v>3.4285714285714279</v>
      </c>
      <c r="AZ217" s="9">
        <f t="shared" ref="AZ217:AZ249" ca="1" si="196">AX217+AY217</f>
        <v>4.6785714285714279</v>
      </c>
      <c r="BA217" s="9">
        <f t="shared" ref="BA217:BA249" ca="1" si="197">1/AZ217</f>
        <v>0.2137404580152672</v>
      </c>
      <c r="BB217" s="9">
        <f t="shared" ca="1" si="173"/>
        <v>0.50687022900763368</v>
      </c>
      <c r="BC217" s="32" t="str">
        <f t="shared" si="174"/>
        <v>E</v>
      </c>
      <c r="BD217" s="20" t="str">
        <f ca="1">OFFSET(Tab.Uncertainty.Levels!$A$1,MATCH(BD$88,Tab.Uncertainty.Levels!$A:$A,0)-1,MATCH(BD$87&amp;"_"&amp;BC217,Tab.Uncertainty.Levels!$1:$1,0)-1)</f>
        <v>Construction year of the building unknown</v>
      </c>
      <c r="BE217" s="24">
        <f ca="1">OFFSET(Tab.Uncertainty.Levels!$A$1,MATCH(BE$88,Tab.Uncertainty.Levels!$A:$A,0)-1,MATCH(BE$87&amp;"_"&amp;BC217,Tab.Uncertainty.Levels!$1:$1,0)-1)</f>
        <v>0.5</v>
      </c>
      <c r="BF217" s="32" t="str">
        <f t="shared" si="175"/>
        <v>-</v>
      </c>
      <c r="BG217" s="20" t="e">
        <f ca="1">OFFSET(Tab.Uncertainty.Levels!$A$1,MATCH(BG$88,Tab.Uncertainty.Levels!$A:$A,0)-1,MATCH(BG$87&amp;"_"&amp;BF217,Tab.Uncertainty.Levels!$1:$1,0)-1)</f>
        <v>#N/A</v>
      </c>
      <c r="BH217" s="24" t="e">
        <f ca="1">OFFSET(Tab.Uncertainty.Levels!$A$1,MATCH(BH$88,Tab.Uncertainty.Levels!$A:$A,0)-1,MATCH(BH$87&amp;"_"&amp;BF217,Tab.Uncertainty.Levels!$1:$1,0)-1)</f>
        <v>#N/A</v>
      </c>
      <c r="BI217" s="32" t="str">
        <f t="shared" si="137"/>
        <v>E</v>
      </c>
      <c r="BJ217" s="13">
        <f ca="1">IF(BF217="-",BE217,BH217)</f>
        <v>0.5</v>
      </c>
      <c r="BK217" s="32" t="str">
        <f>IF(OR($L217="NoDataSource",IFERROR(IF($S217="",#N/A,$S217),0)=0),IF(IFERROR(IF(U217="",#N/A,U217),0)=0,"E","D"),IF($L217="DesignDataPlusQA","A",IF($L217="DesignData","B","C")))</f>
        <v>C</v>
      </c>
      <c r="BL217" s="20" t="str">
        <f ca="1">OFFSET(Tab.Uncertainty.Levels!$A$1,MATCH(BL$88,Tab.Uncertainty.Levels!$A:$A,0)-1,MATCH(BL$87&amp;"_"&amp;BK217,Tab.Uncertainty.Levels!$1:$1,0)-1)</f>
        <v>Insulation thickness determined by inspection onsite / record or statement of owner</v>
      </c>
      <c r="BM217" s="24">
        <f ca="1">OFFSET(Tab.Uncertainty.Levels!$A$1,MATCH(BM$88,Tab.Uncertainty.Levels!$A:$A,0)-1,MATCH(BM$87&amp;"_"&amp;BK217,Tab.Uncertainty.Levels!$1:$1,0)-1)</f>
        <v>0.25</v>
      </c>
      <c r="BN217" s="34">
        <f ca="1">OFFSET(Tab.Uncertainty.Levels!$A$1,MATCH(BN$88,Tab.Uncertainty.Levels!$A:$A,0)-1,MATCH(BN$87&amp;"_"&amp;BK217,Tab.Uncertainty.Levels!$1:$1,0)-1)</f>
        <v>2</v>
      </c>
      <c r="BO217" s="13">
        <f ca="1">IFERROR(MIN(BM217,BN217/AN217),0)</f>
        <v>0.16666666666666666</v>
      </c>
      <c r="BP217" s="32" t="str">
        <f>IF(OR($L217="NoDataSource",IFERROR(IF($V217="",#N/A,$V217),0)=0),IF(IFERROR(IF(U217="",#N/A,U217),0)=0,"E","D"),IF($L217="DesignDataPlusQA","A",IF($L217="DesignData","B","C")))</f>
        <v>D</v>
      </c>
      <c r="BQ217" s="20" t="str">
        <f ca="1">OFFSET(Tab.Uncertainty.Levels!$A$1,MATCH(BQ$88,Tab.Uncertainty.Levels!$A:$A,0)-1,MATCH(BQ$87&amp;"_"&amp;BP217,Tab.Uncertainty.Levels!$1:$1,0)-1)</f>
        <v>Insulation available; no information about material</v>
      </c>
      <c r="BR217" s="97">
        <f ca="1">OFFSET(Tab.Uncertainty.Levels!$A$1,MATCH(BR$88,Tab.Uncertainty.Levels!$A:$A,0)-1,MATCH(BR$87&amp;"_"&amp;BP217,Tab.Uncertainty.Levels!$1:$1,0)-1)</f>
        <v>0.2</v>
      </c>
      <c r="BS217" s="32" t="str">
        <f>IF(L217="NoDataSource","D",IF(IFERROR(IF($T217="",#N/A,$T217),0)=0,IF(OR(IFERROR(IF($S217="",#N/A,$S217),0)&gt;0,$R217="Refurbish"),"D","E"),IF($L217="DesignDataPlusQA","A",IF($L217="DesignData","B","C"))))</f>
        <v>C</v>
      </c>
      <c r="BT217" s="20" t="str">
        <f ca="1">OFFSET(Tab.Uncertainty.Levels!$A$1,MATCH(BT$88,Tab.Uncertainty.Levels!$A:$A,0)-1,MATCH(BT$87&amp;"_"&amp;BS217,Tab.Uncertainty.Levels!$1:$1,0)-1)</f>
        <v>Insulation fraction determined by inspection onsite / record or statement of owner</v>
      </c>
      <c r="BU217" s="33">
        <f ca="1">OFFSET(Tab.Uncertainty.Levels!$A$1,MATCH(BU$88,Tab.Uncertainty.Levels!$A:$A,0)-1,MATCH(BU$87&amp;"_"&amp;BS217,Tab.Uncertainty.Levels!$1:$1,0)-1)</f>
        <v>0.2</v>
      </c>
      <c r="BV217" s="13">
        <f ca="1">IFERROR(MIN(BU217/AW217,1,(1-AW217)/AW217),0)</f>
        <v>0.4</v>
      </c>
      <c r="BW217" s="96">
        <f ca="1">ABS(1+(AW217*(1/(1+AN217/100/AP217*AG217)^2-1)))*BJ217*$AG217</f>
        <v>0.21427655731018005</v>
      </c>
      <c r="BX217" s="96">
        <f ca="1">ABS(-AG217+1/(1/AG217+AN217/100/AP217))*BV217*AW217</f>
        <v>0.11725190839694657</v>
      </c>
      <c r="BY217" s="96">
        <f ca="1">ABS(-AW217*AP217/((AP217/AG217+AN217/100)^2))*(BO217*AN217/100)</f>
        <v>1.3052852397878912E-2</v>
      </c>
      <c r="BZ217" s="202">
        <f ca="1">ABS(AW217*AN217/100/(1/AG217*AP217+AN217/100)^2)*(BR217*AP217)</f>
        <v>1.5663422877454692E-2</v>
      </c>
      <c r="CA217" s="103">
        <f t="shared" ref="CA217:CA275" ca="1" si="198">SQRT(BW217^2+BX217^2+BY217^2+BZ217^2)</f>
        <v>0.2451084919120258</v>
      </c>
      <c r="CB217" s="37">
        <f t="shared" ca="1" si="176"/>
        <v>0.42274441276556601</v>
      </c>
      <c r="CC217" s="37">
        <f t="shared" ca="1" si="177"/>
        <v>0.23132530120481926</v>
      </c>
      <c r="CD217" s="37">
        <f t="shared" ca="1" si="178"/>
        <v>2.575186241147797E-2</v>
      </c>
      <c r="CE217" s="37">
        <f t="shared" ca="1" si="179"/>
        <v>3.0902234893773559E-2</v>
      </c>
      <c r="CF217" s="13">
        <f t="shared" ca="1" si="180"/>
        <v>0.48357247651318336</v>
      </c>
      <c r="CG217" s="101">
        <f ca="1">AG217</f>
        <v>0.8</v>
      </c>
      <c r="CH217" s="101">
        <f>AW217</f>
        <v>0.5</v>
      </c>
      <c r="CI217" s="203">
        <f>IF(CH217&gt;0,AN217,0)</f>
        <v>12</v>
      </c>
      <c r="CJ217" s="102">
        <f ca="1">IF(AND(CH217&gt;0,CI217&gt;0),AP217,0)</f>
        <v>3.5000000000000003E-2</v>
      </c>
      <c r="CK217" s="102">
        <f ca="1">BB217</f>
        <v>0.50687022900763368</v>
      </c>
      <c r="CL217" s="37">
        <f t="shared" ref="CL217:CL247" ca="1" si="199">BJ217</f>
        <v>0.5</v>
      </c>
      <c r="CM217" s="37">
        <f t="shared" ref="CM217:CM247" ca="1" si="200">BV217</f>
        <v>0.4</v>
      </c>
      <c r="CN217" s="37">
        <f t="shared" ref="CN217:CN247" ca="1" si="201">BO217</f>
        <v>0.16666666666666666</v>
      </c>
      <c r="CO217" s="37">
        <f t="shared" ref="CO217:CO247" ca="1" si="202">BR217</f>
        <v>0.2</v>
      </c>
      <c r="CP217" s="37">
        <f t="shared" ref="CP217:CP247" ca="1" si="203">CF217</f>
        <v>0.48357247651318336</v>
      </c>
      <c r="CQ217" s="95">
        <f t="shared" ref="CQ217:CQ247" ca="1" si="204">CG217*CL217</f>
        <v>0.4</v>
      </c>
      <c r="CR217" s="95">
        <f t="shared" ref="CR217:CR247" ca="1" si="205">CH217*CM217</f>
        <v>0.2</v>
      </c>
      <c r="CS217" s="95">
        <f t="shared" ref="CS217:CS247" ca="1" si="206">CI217*CN217</f>
        <v>2</v>
      </c>
      <c r="CT217" s="103">
        <f t="shared" ref="CT217:CT247" ca="1" si="207">CJ217*CO217</f>
        <v>7.000000000000001E-3</v>
      </c>
      <c r="CU217" s="95">
        <f t="shared" ref="CU217:CU247" ca="1" si="208">CK217*CP217</f>
        <v>0.2451084919120258</v>
      </c>
      <c r="CV217" s="37">
        <f ca="1">$CB217^2/$CF217^2</f>
        <v>0.76424499726224915</v>
      </c>
      <c r="CW217" s="37">
        <f ca="1">$CD217^2/$CF217^2</f>
        <v>2.8359210634958353E-3</v>
      </c>
      <c r="CX217" s="37">
        <f ca="1">$CE217^2/$CF217^2</f>
        <v>4.0837263314340011E-3</v>
      </c>
      <c r="CY217" s="37">
        <f ca="1">$CC217^2/$CF217^2</f>
        <v>0.22883535534282098</v>
      </c>
      <c r="DA217" s="98" t="s">
        <v>214</v>
      </c>
      <c r="DB217" s="36">
        <f ca="1">OFFSET($A$1,ROW(DB217)-1,MATCH(DA217,$1:$1,0)-1)</f>
        <v>12</v>
      </c>
      <c r="DC217" s="9">
        <f ca="1">BB217</f>
        <v>0.50687022900763368</v>
      </c>
      <c r="DD217" s="9">
        <f ca="1">$DC217+$CA217</f>
        <v>0.75197872091965945</v>
      </c>
      <c r="DE217" s="9">
        <f ca="1">$DC217-$CA217</f>
        <v>0.2617617370956079</v>
      </c>
      <c r="DF217" s="10">
        <f t="shared" ca="1" si="181"/>
        <v>0.4835724765131833</v>
      </c>
    </row>
    <row r="218" spans="1:110" s="8" customFormat="1" ht="32.4" customHeight="1">
      <c r="A218" s="206" t="s">
        <v>654</v>
      </c>
      <c r="B218" s="208" t="s">
        <v>2346</v>
      </c>
      <c r="C218" s="206" t="str">
        <f t="shared" ca="1" si="186"/>
        <v>Parameter-Variation: U_Original = 1,90 W/(m²K) - Year_Building = 1850</v>
      </c>
      <c r="D218" s="206"/>
      <c r="E218" s="206" t="s">
        <v>199</v>
      </c>
      <c r="F218" s="206" t="str">
        <f t="shared" ca="1" si="187"/>
        <v>1,90 W/(m²K) - Year_Building = 1850</v>
      </c>
      <c r="G218" s="206" t="s">
        <v>2170</v>
      </c>
      <c r="H218" s="206" t="s">
        <v>2171</v>
      </c>
      <c r="I218" s="156" t="s">
        <v>80</v>
      </c>
      <c r="J218" s="156" t="s">
        <v>134</v>
      </c>
      <c r="K218" s="156" t="s">
        <v>155</v>
      </c>
      <c r="L218" s="156" t="s">
        <v>66</v>
      </c>
      <c r="M218" s="156" t="s">
        <v>188</v>
      </c>
      <c r="N218" s="7">
        <v>1850</v>
      </c>
      <c r="O218" s="156">
        <v>0</v>
      </c>
      <c r="P218" s="156">
        <v>1</v>
      </c>
      <c r="Q218" s="156" t="s">
        <v>435</v>
      </c>
      <c r="R218" s="156" t="s">
        <v>58</v>
      </c>
      <c r="S218" s="19">
        <v>12</v>
      </c>
      <c r="T218" s="19">
        <v>0.5</v>
      </c>
      <c r="U218" s="19">
        <v>2016</v>
      </c>
      <c r="V218" s="19" t="e">
        <v>#N/A</v>
      </c>
      <c r="W218" s="28" t="s">
        <v>59</v>
      </c>
      <c r="X218" s="19" t="e">
        <v>#N/A</v>
      </c>
      <c r="Y218" s="105">
        <f ca="1">IFERROR(OFFSET(Tab.Const.ConstrBorder!$A$1,MATCH(Q218,Tab.Const.ConstrBorder!$A:$A,0)-1,MATCH(Y$87,Tab.Const.ConstrBorder!$1:$1,0)-1),0)</f>
        <v>0</v>
      </c>
      <c r="Z218" s="18">
        <f t="shared" si="188"/>
        <v>1850</v>
      </c>
      <c r="AA218" s="17">
        <f>MATCH(Z218,Tab.Year.Period!$11:$11,1)-3</f>
        <v>1</v>
      </c>
      <c r="AB218" s="17">
        <f>MATCH(AB$88&amp;"."&amp;TEXT(AA218,"00"),Tab.U.Default!$A:$A,0)</f>
        <v>24</v>
      </c>
      <c r="AC218" s="105">
        <f ca="1">OFFSET(Tab.U.Default!$A$1,$AB218-1,MATCH("U_Class_"&amp;IF($J218="TopCeiling","UpperCeiling",$J218)&amp;"_"&amp;AC$87,Tab.U.Default!$1:$1,0)-1)</f>
        <v>1.7</v>
      </c>
      <c r="AD218" s="105">
        <f ca="1">OFFSET(Tab.U.Default!$A$1,$AB218-1,MATCH("U_Class_"&amp;IF($J218="TopCeiling","UpperCeiling",$J218)&amp;"_"&amp;AD$87,Tab.U.Default!$1:$1,0)-1)</f>
        <v>1.7</v>
      </c>
      <c r="AE218" s="105">
        <f ca="1">OFFSET(Tab.U.Default!$A$1,$AB218-1,MATCH("U_Class_"&amp;IF($J218="TopCeiling","UpperCeiling",$J218)&amp;"_"&amp;AE$87,Tab.U.Default!$1:$1,0)-1)</f>
        <v>1.9</v>
      </c>
      <c r="AF218" s="26">
        <f t="shared" ca="1" si="189"/>
        <v>1.9</v>
      </c>
      <c r="AG218" s="26">
        <f t="shared" ca="1" si="190"/>
        <v>1.9000000000000001</v>
      </c>
      <c r="AH218" s="18" t="str">
        <f t="shared" si="168"/>
        <v>Refurbish</v>
      </c>
      <c r="AI218" s="18" t="str">
        <f t="shared" si="191"/>
        <v>Add</v>
      </c>
      <c r="AJ218" s="18">
        <f t="shared" si="192"/>
        <v>2016</v>
      </c>
      <c r="AK218" s="17">
        <f>MATCH(AJ218,Tab.Year.Period!$11:$11,1)-3</f>
        <v>12</v>
      </c>
      <c r="AL218" s="17">
        <f>MATCH(AL$88&amp;"."&amp;TEXT(AK218,"00"),Tab.Insulation.Default!$A:$A,0)</f>
        <v>23</v>
      </c>
      <c r="AM218" s="20" t="e">
        <f ca="1">IF(ISNA(IF(S218="",#N/A,S218)),OFFSET(Tab.Insulation.Default!$A$1,$AL218-1,MATCH(AM$87&amp;"_"&amp;$K218,Tab.Insulation.Default!$1:$1,0)-1),#N/A)</f>
        <v>#N/A</v>
      </c>
      <c r="AN218" s="27">
        <f t="shared" si="193"/>
        <v>12</v>
      </c>
      <c r="AO218" s="22">
        <f ca="1">IF(ISNA(IF(V218="",#N/A,V218)),OFFSET(Tab.Insulation.Default!$A$1,$AL218-1,MATCH(AO$87&amp;"_"&amp;$K218,Tab.Insulation.Default!$1:$1,0)-1),#N/A)</f>
        <v>3.5000000000000003E-2</v>
      </c>
      <c r="AP218" s="23">
        <f t="shared" ca="1" si="194"/>
        <v>3.5000000000000003E-2</v>
      </c>
      <c r="AQ218" s="29" t="str">
        <f t="shared" si="169"/>
        <v>Gen.Refurbished.12</v>
      </c>
      <c r="AR218" s="17">
        <f>MATCH(AR$88&amp;"."&amp;AQ218,Tab.Measure.f.Default!$A:$A,0)</f>
        <v>23</v>
      </c>
      <c r="AS218" s="21">
        <f ca="1">OFFSET(Tab.Measure.f.Default!$A$1,AR218-1,MATCH(AS$87&amp;"_"&amp;$J218,Tab.Measure.f.Default!$1:$1,0)-1)</f>
        <v>0.75</v>
      </c>
      <c r="AT218" s="29" t="str">
        <f t="shared" si="170"/>
        <v>MUH.NA.01</v>
      </c>
      <c r="AU218" s="17">
        <f>MATCH(AU$88&amp;"."&amp;AT218,Tab.Measure.f.Default!$A:$A,0)</f>
        <v>36</v>
      </c>
      <c r="AV218" s="21">
        <f ca="1">OFFSET(Tab.Measure.f.Default!$A$1,AU218-1,MATCH(AV$87&amp;"_"&amp;$J218,Tab.Measure.f.Default!$1:$1,0)-1)</f>
        <v>0.37</v>
      </c>
      <c r="AW218" s="30">
        <f t="shared" si="195"/>
        <v>0.5</v>
      </c>
      <c r="AX218" s="9">
        <f t="shared" ca="1" si="171"/>
        <v>0.52631578947368418</v>
      </c>
      <c r="AY218" s="9">
        <f t="shared" ca="1" si="172"/>
        <v>3.4285714285714279</v>
      </c>
      <c r="AZ218" s="9">
        <f t="shared" ca="1" si="196"/>
        <v>3.954887218045112</v>
      </c>
      <c r="BA218" s="9">
        <f t="shared" ca="1" si="197"/>
        <v>0.25285171102661602</v>
      </c>
      <c r="BB218" s="9">
        <f t="shared" ca="1" si="173"/>
        <v>1.0764258555133082</v>
      </c>
      <c r="BC218" s="32" t="str">
        <f t="shared" si="174"/>
        <v>D</v>
      </c>
      <c r="BD218" s="20" t="str">
        <f ca="1">OFFSET(Tab.Uncertainty.Levels!$A$1,MATCH(BD$88,Tab.Uncertainty.Levels!$A:$A,0)-1,MATCH(BD$87&amp;"_"&amp;BC218,Tab.Uncertainty.Levels!$1:$1,0)-1)</f>
        <v>Use of default values; building constructed until 1983</v>
      </c>
      <c r="BE218" s="24">
        <f ca="1">OFFSET(Tab.Uncertainty.Levels!$A$1,MATCH(BE$88,Tab.Uncertainty.Levels!$A:$A,0)-1,MATCH(BE$87&amp;"_"&amp;BC218,Tab.Uncertainty.Levels!$1:$1,0)-1)</f>
        <v>0.3</v>
      </c>
      <c r="BF218" s="32" t="str">
        <f t="shared" si="175"/>
        <v>-</v>
      </c>
      <c r="BG218" s="20" t="e">
        <f ca="1">OFFSET(Tab.Uncertainty.Levels!$A$1,MATCH(BG$88,Tab.Uncertainty.Levels!$A:$A,0)-1,MATCH(BG$87&amp;"_"&amp;BF218,Tab.Uncertainty.Levels!$1:$1,0)-1)</f>
        <v>#N/A</v>
      </c>
      <c r="BH218" s="24" t="e">
        <f ca="1">OFFSET(Tab.Uncertainty.Levels!$A$1,MATCH(BH$88,Tab.Uncertainty.Levels!$A:$A,0)-1,MATCH(BH$87&amp;"_"&amp;BF218,Tab.Uncertainty.Levels!$1:$1,0)-1)</f>
        <v>#N/A</v>
      </c>
      <c r="BI218" s="32" t="str">
        <f t="shared" si="137"/>
        <v>D</v>
      </c>
      <c r="BJ218" s="13">
        <f ca="1">IF(BF218="-",BE218,BH218)</f>
        <v>0.3</v>
      </c>
      <c r="BK218" s="32" t="str">
        <f>IF(OR($L218="NoDataSource",IFERROR(IF($S218="",#N/A,$S218),0)=0),IF(IFERROR(IF(U218="",#N/A,U218),0)=0,"E","D"),IF($L218="DesignDataPlusQA","A",IF($L218="DesignData","B","C")))</f>
        <v>C</v>
      </c>
      <c r="BL218" s="20" t="str">
        <f ca="1">OFFSET(Tab.Uncertainty.Levels!$A$1,MATCH(BL$88,Tab.Uncertainty.Levels!$A:$A,0)-1,MATCH(BL$87&amp;"_"&amp;BK218,Tab.Uncertainty.Levels!$1:$1,0)-1)</f>
        <v>Insulation thickness determined by inspection onsite / record or statement of owner</v>
      </c>
      <c r="BM218" s="24">
        <f ca="1">OFFSET(Tab.Uncertainty.Levels!$A$1,MATCH(BM$88,Tab.Uncertainty.Levels!$A:$A,0)-1,MATCH(BM$87&amp;"_"&amp;BK218,Tab.Uncertainty.Levels!$1:$1,0)-1)</f>
        <v>0.25</v>
      </c>
      <c r="BN218" s="34">
        <f ca="1">OFFSET(Tab.Uncertainty.Levels!$A$1,MATCH(BN$88,Tab.Uncertainty.Levels!$A:$A,0)-1,MATCH(BN$87&amp;"_"&amp;BK218,Tab.Uncertainty.Levels!$1:$1,0)-1)</f>
        <v>2</v>
      </c>
      <c r="BO218" s="13">
        <f ca="1">IFERROR(MIN(BM218,BN218/AN218),0)</f>
        <v>0.16666666666666666</v>
      </c>
      <c r="BP218" s="32" t="str">
        <f>IF(OR($L218="NoDataSource",IFERROR(IF($V218="",#N/A,$V218),0)=0),IF(IFERROR(IF(U218="",#N/A,U218),0)=0,"E","D"),IF($L218="DesignDataPlusQA","A",IF($L218="DesignData","B","C")))</f>
        <v>D</v>
      </c>
      <c r="BQ218" s="20" t="str">
        <f ca="1">OFFSET(Tab.Uncertainty.Levels!$A$1,MATCH(BQ$88,Tab.Uncertainty.Levels!$A:$A,0)-1,MATCH(BQ$87&amp;"_"&amp;BP218,Tab.Uncertainty.Levels!$1:$1,0)-1)</f>
        <v>Insulation available; no information about material</v>
      </c>
      <c r="BR218" s="97">
        <f ca="1">OFFSET(Tab.Uncertainty.Levels!$A$1,MATCH(BR$88,Tab.Uncertainty.Levels!$A:$A,0)-1,MATCH(BR$87&amp;"_"&amp;BP218,Tab.Uncertainty.Levels!$1:$1,0)-1)</f>
        <v>0.2</v>
      </c>
      <c r="BS218" s="32" t="str">
        <f>IF(L218="NoDataSource","D",IF(IFERROR(IF($T218="",#N/A,$T218),0)=0,IF(OR(IFERROR(IF($S218="",#N/A,$S218),0)&gt;0,$R218="Refurbish"),"D","E"),IF($L218="DesignDataPlusQA","A",IF($L218="DesignData","B","C"))))</f>
        <v>C</v>
      </c>
      <c r="BT218" s="20" t="str">
        <f ca="1">OFFSET(Tab.Uncertainty.Levels!$A$1,MATCH(BT$88,Tab.Uncertainty.Levels!$A:$A,0)-1,MATCH(BT$87&amp;"_"&amp;BS218,Tab.Uncertainty.Levels!$1:$1,0)-1)</f>
        <v>Insulation fraction determined by inspection onsite / record or statement of owner</v>
      </c>
      <c r="BU218" s="33">
        <f ca="1">OFFSET(Tab.Uncertainty.Levels!$A$1,MATCH(BU$88,Tab.Uncertainty.Levels!$A:$A,0)-1,MATCH(BU$87&amp;"_"&amp;BS218,Tab.Uncertainty.Levels!$1:$1,0)-1)</f>
        <v>0.2</v>
      </c>
      <c r="BV218" s="13">
        <f ca="1">IFERROR(MIN(BU218/AW218,1,(1-AW218)/AW218),0)</f>
        <v>0.4</v>
      </c>
      <c r="BW218" s="96">
        <f ca="1">ABS(1+(AW218*(1/(1+AN218/100/AP218*AG218)^2-1)))*BJ218*$AG218</f>
        <v>0.29004742008703321</v>
      </c>
      <c r="BX218" s="96">
        <f ca="1">ABS(-AG218+1/(1/AG218+AN218/100/AP218))*BV218*AW218</f>
        <v>0.32942965779467687</v>
      </c>
      <c r="BY218" s="96">
        <f ca="1">ABS(-AW218*AP218/((AP218/AG218+AN218/100)^2))*(BO218*AN218/100)</f>
        <v>1.8266853648310665E-2</v>
      </c>
      <c r="BZ218" s="202">
        <f ca="1">ABS(AW218*AN218/100/(1/AG218*AP218+AN218/100)^2)*(BR218*AP218)</f>
        <v>2.1920224377972794E-2</v>
      </c>
      <c r="CA218" s="103">
        <f t="shared" ca="1" si="198"/>
        <v>0.43984722292274542</v>
      </c>
      <c r="CB218" s="37">
        <f t="shared" ca="1" si="176"/>
        <v>0.26945415571490544</v>
      </c>
      <c r="CC218" s="37">
        <f t="shared" ca="1" si="177"/>
        <v>0.30604026845637583</v>
      </c>
      <c r="CD218" s="37">
        <f t="shared" ca="1" si="178"/>
        <v>1.6969913491719196E-2</v>
      </c>
      <c r="CE218" s="37">
        <f t="shared" ca="1" si="179"/>
        <v>2.0363896190063031E-2</v>
      </c>
      <c r="CF218" s="13">
        <f t="shared" ca="1" si="180"/>
        <v>0.40861822546337701</v>
      </c>
      <c r="CG218" s="101">
        <f ca="1">AG218</f>
        <v>1.9000000000000001</v>
      </c>
      <c r="CH218" s="101">
        <f>AW218</f>
        <v>0.5</v>
      </c>
      <c r="CI218" s="203">
        <f>IF(CH218&gt;0,AN218,0)</f>
        <v>12</v>
      </c>
      <c r="CJ218" s="102">
        <f ca="1">IF(AND(CH218&gt;0,CI218&gt;0),AP218,0)</f>
        <v>3.5000000000000003E-2</v>
      </c>
      <c r="CK218" s="102">
        <f ca="1">BB218</f>
        <v>1.0764258555133082</v>
      </c>
      <c r="CL218" s="37">
        <f t="shared" ca="1" si="199"/>
        <v>0.3</v>
      </c>
      <c r="CM218" s="37">
        <f t="shared" ca="1" si="200"/>
        <v>0.4</v>
      </c>
      <c r="CN218" s="37">
        <f t="shared" ca="1" si="201"/>
        <v>0.16666666666666666</v>
      </c>
      <c r="CO218" s="37">
        <f t="shared" ca="1" si="202"/>
        <v>0.2</v>
      </c>
      <c r="CP218" s="37">
        <f t="shared" ca="1" si="203"/>
        <v>0.40861822546337701</v>
      </c>
      <c r="CQ218" s="95">
        <f t="shared" ca="1" si="204"/>
        <v>0.57000000000000006</v>
      </c>
      <c r="CR218" s="95">
        <f t="shared" ca="1" si="205"/>
        <v>0.2</v>
      </c>
      <c r="CS218" s="95">
        <f t="shared" ca="1" si="206"/>
        <v>2</v>
      </c>
      <c r="CT218" s="103">
        <f t="shared" ca="1" si="207"/>
        <v>7.000000000000001E-3</v>
      </c>
      <c r="CU218" s="95">
        <f t="shared" ca="1" si="208"/>
        <v>0.43984722292274542</v>
      </c>
      <c r="CV218" s="37">
        <f ca="1">$CB218^2/$CF218^2</f>
        <v>0.43484482413346093</v>
      </c>
      <c r="CW218" s="37">
        <f ca="1">$CD218^2/$CF218^2</f>
        <v>1.7247406130279392E-3</v>
      </c>
      <c r="CX218" s="37">
        <f ca="1">$CE218^2/$CF218^2</f>
        <v>2.4836264827602312E-3</v>
      </c>
      <c r="CY218" s="37">
        <f ca="1">$CC218^2/$CF218^2</f>
        <v>0.56094680877075076</v>
      </c>
      <c r="DA218" s="98" t="s">
        <v>214</v>
      </c>
      <c r="DB218" s="36">
        <f ca="1">OFFSET($A$1,ROW(DB218)-1,MATCH(DA218,$1:$1,0)-1)</f>
        <v>12</v>
      </c>
      <c r="DC218" s="9">
        <f ca="1">BB218</f>
        <v>1.0764258555133082</v>
      </c>
      <c r="DD218" s="9">
        <f ca="1">$DC218+$CA218</f>
        <v>1.5162730784360536</v>
      </c>
      <c r="DE218" s="9">
        <f ca="1">$DC218-$CA218</f>
        <v>0.63657863259056269</v>
      </c>
      <c r="DF218" s="10">
        <f t="shared" ca="1" si="181"/>
        <v>0.40861822546337706</v>
      </c>
    </row>
    <row r="219" spans="1:110" s="8" customFormat="1" ht="32.4" customHeight="1">
      <c r="A219" s="206" t="s">
        <v>655</v>
      </c>
      <c r="B219" s="208" t="s">
        <v>2346</v>
      </c>
      <c r="C219" s="206" t="str">
        <f t="shared" ca="1" si="186"/>
        <v>Parameter-Variation: U_Original = 1,50 W/(m²K) - Year_Building = 1920</v>
      </c>
      <c r="D219" s="206"/>
      <c r="E219" s="206" t="s">
        <v>199</v>
      </c>
      <c r="F219" s="206" t="str">
        <f t="shared" ca="1" si="187"/>
        <v>1,50 W/(m²K) - Year_Building = 1920</v>
      </c>
      <c r="G219" s="206" t="s">
        <v>2170</v>
      </c>
      <c r="H219" s="206" t="s">
        <v>2171</v>
      </c>
      <c r="I219" s="156" t="s">
        <v>80</v>
      </c>
      <c r="J219" s="156" t="s">
        <v>134</v>
      </c>
      <c r="K219" s="156" t="s">
        <v>155</v>
      </c>
      <c r="L219" s="156" t="s">
        <v>66</v>
      </c>
      <c r="M219" s="156" t="s">
        <v>188</v>
      </c>
      <c r="N219" s="7">
        <v>1920</v>
      </c>
      <c r="O219" s="156">
        <v>1</v>
      </c>
      <c r="P219" s="156">
        <v>0</v>
      </c>
      <c r="Q219" s="156" t="s">
        <v>435</v>
      </c>
      <c r="R219" s="156" t="s">
        <v>58</v>
      </c>
      <c r="S219" s="19">
        <v>12</v>
      </c>
      <c r="T219" s="19">
        <v>0.5</v>
      </c>
      <c r="U219" s="19">
        <v>2016</v>
      </c>
      <c r="V219" s="19" t="e">
        <v>#N/A</v>
      </c>
      <c r="W219" s="28" t="s">
        <v>59</v>
      </c>
      <c r="X219" s="19" t="e">
        <v>#N/A</v>
      </c>
      <c r="Y219" s="105">
        <f ca="1">IFERROR(OFFSET(Tab.Const.ConstrBorder!$A$1,MATCH(Q219,Tab.Const.ConstrBorder!$A:$A,0)-1,MATCH(Y$87,Tab.Const.ConstrBorder!$1:$1,0)-1),0)</f>
        <v>0</v>
      </c>
      <c r="Z219" s="18">
        <f t="shared" si="188"/>
        <v>1920</v>
      </c>
      <c r="AA219" s="17">
        <f>MATCH(Z219,Tab.Year.Period!$11:$11,1)-3</f>
        <v>3</v>
      </c>
      <c r="AB219" s="17">
        <f>MATCH(AB$88&amp;"."&amp;TEXT(AA219,"00"),Tab.U.Default!$A:$A,0)</f>
        <v>26</v>
      </c>
      <c r="AC219" s="105">
        <f ca="1">OFFSET(Tab.U.Default!$A$1,$AB219-1,MATCH("U_Class_"&amp;IF($J219="TopCeiling","UpperCeiling",$J219)&amp;"_"&amp;AC$87,Tab.U.Default!$1:$1,0)-1)</f>
        <v>1.5</v>
      </c>
      <c r="AD219" s="105">
        <f ca="1">OFFSET(Tab.U.Default!$A$1,$AB219-1,MATCH("U_Class_"&amp;IF($J219="TopCeiling","UpperCeiling",$J219)&amp;"_"&amp;AD$87,Tab.U.Default!$1:$1,0)-1)</f>
        <v>1.5</v>
      </c>
      <c r="AE219" s="105">
        <f ca="1">OFFSET(Tab.U.Default!$A$1,$AB219-1,MATCH("U_Class_"&amp;IF($J219="TopCeiling","UpperCeiling",$J219)&amp;"_"&amp;AE$87,Tab.U.Default!$1:$1,0)-1)</f>
        <v>1.5</v>
      </c>
      <c r="AF219" s="26">
        <f t="shared" ca="1" si="189"/>
        <v>1.5</v>
      </c>
      <c r="AG219" s="26">
        <f t="shared" ca="1" si="190"/>
        <v>1.5</v>
      </c>
      <c r="AH219" s="18" t="str">
        <f t="shared" si="168"/>
        <v>Refurbish</v>
      </c>
      <c r="AI219" s="18" t="str">
        <f t="shared" si="191"/>
        <v>Add</v>
      </c>
      <c r="AJ219" s="18">
        <f t="shared" si="192"/>
        <v>2016</v>
      </c>
      <c r="AK219" s="17">
        <f>MATCH(AJ219,Tab.Year.Period!$11:$11,1)-3</f>
        <v>12</v>
      </c>
      <c r="AL219" s="17">
        <f>MATCH(AL$88&amp;"."&amp;TEXT(AK219,"00"),Tab.Insulation.Default!$A:$A,0)</f>
        <v>23</v>
      </c>
      <c r="AM219" s="20" t="e">
        <f ca="1">IF(ISNA(IF(S219="",#N/A,S219)),OFFSET(Tab.Insulation.Default!$A$1,$AL219-1,MATCH(AM$87&amp;"_"&amp;$K219,Tab.Insulation.Default!$1:$1,0)-1),#N/A)</f>
        <v>#N/A</v>
      </c>
      <c r="AN219" s="27">
        <f t="shared" si="193"/>
        <v>12</v>
      </c>
      <c r="AO219" s="22">
        <f ca="1">IF(ISNA(IF(V219="",#N/A,V219)),OFFSET(Tab.Insulation.Default!$A$1,$AL219-1,MATCH(AO$87&amp;"_"&amp;$K219,Tab.Insulation.Default!$1:$1,0)-1),#N/A)</f>
        <v>3.5000000000000003E-2</v>
      </c>
      <c r="AP219" s="23">
        <f t="shared" ca="1" si="194"/>
        <v>3.5000000000000003E-2</v>
      </c>
      <c r="AQ219" s="29" t="str">
        <f t="shared" si="169"/>
        <v>Gen.Refurbished.12</v>
      </c>
      <c r="AR219" s="17">
        <f>MATCH(AR$88&amp;"."&amp;AQ219,Tab.Measure.f.Default!$A:$A,0)</f>
        <v>23</v>
      </c>
      <c r="AS219" s="21">
        <f ca="1">OFFSET(Tab.Measure.f.Default!$A$1,AR219-1,MATCH(AS$87&amp;"_"&amp;$J219,Tab.Measure.f.Default!$1:$1,0)-1)</f>
        <v>0.75</v>
      </c>
      <c r="AT219" s="29" t="str">
        <f t="shared" si="170"/>
        <v>MUH.NA.03</v>
      </c>
      <c r="AU219" s="17">
        <f>MATCH(AU$88&amp;"."&amp;AT219,Tab.Measure.f.Default!$A:$A,0)</f>
        <v>38</v>
      </c>
      <c r="AV219" s="21">
        <f ca="1">OFFSET(Tab.Measure.f.Default!$A$1,AU219-1,MATCH(AV$87&amp;"_"&amp;$J219,Tab.Measure.f.Default!$1:$1,0)-1)</f>
        <v>0.37</v>
      </c>
      <c r="AW219" s="30">
        <f t="shared" si="195"/>
        <v>0.5</v>
      </c>
      <c r="AX219" s="9">
        <f t="shared" ca="1" si="171"/>
        <v>0.66666666666666663</v>
      </c>
      <c r="AY219" s="9">
        <f t="shared" ca="1" si="172"/>
        <v>3.4285714285714279</v>
      </c>
      <c r="AZ219" s="9">
        <f t="shared" ca="1" si="196"/>
        <v>4.0952380952380949</v>
      </c>
      <c r="BA219" s="9">
        <f t="shared" ca="1" si="197"/>
        <v>0.24418604651162792</v>
      </c>
      <c r="BB219" s="9">
        <f t="shared" ca="1" si="173"/>
        <v>0.87209302325581395</v>
      </c>
      <c r="BC219" s="32" t="str">
        <f t="shared" si="174"/>
        <v>D</v>
      </c>
      <c r="BD219" s="20" t="str">
        <f ca="1">OFFSET(Tab.Uncertainty.Levels!$A$1,MATCH(BD$88,Tab.Uncertainty.Levels!$A:$A,0)-1,MATCH(BD$87&amp;"_"&amp;BC219,Tab.Uncertainty.Levels!$1:$1,0)-1)</f>
        <v>Use of default values; building constructed until 1983</v>
      </c>
      <c r="BE219" s="24">
        <f ca="1">OFFSET(Tab.Uncertainty.Levels!$A$1,MATCH(BE$88,Tab.Uncertainty.Levels!$A:$A,0)-1,MATCH(BE$87&amp;"_"&amp;BC219,Tab.Uncertainty.Levels!$1:$1,0)-1)</f>
        <v>0.3</v>
      </c>
      <c r="BF219" s="32" t="str">
        <f t="shared" si="175"/>
        <v>-</v>
      </c>
      <c r="BG219" s="20" t="e">
        <f ca="1">OFFSET(Tab.Uncertainty.Levels!$A$1,MATCH(BG$88,Tab.Uncertainty.Levels!$A:$A,0)-1,MATCH(BG$87&amp;"_"&amp;BF219,Tab.Uncertainty.Levels!$1:$1,0)-1)</f>
        <v>#N/A</v>
      </c>
      <c r="BH219" s="24" t="e">
        <f ca="1">OFFSET(Tab.Uncertainty.Levels!$A$1,MATCH(BH$88,Tab.Uncertainty.Levels!$A:$A,0)-1,MATCH(BH$87&amp;"_"&amp;BF219,Tab.Uncertainty.Levels!$1:$1,0)-1)</f>
        <v>#N/A</v>
      </c>
      <c r="BI219" s="32" t="str">
        <f t="shared" si="137"/>
        <v>D</v>
      </c>
      <c r="BJ219" s="13">
        <f ca="1">IF(BF219="-",BE219,BH219)</f>
        <v>0.3</v>
      </c>
      <c r="BK219" s="32" t="str">
        <f>IF(OR($L219="NoDataSource",IFERROR(IF($S219="",#N/A,$S219),0)=0),IF(IFERROR(IF(U219="",#N/A,U219),0)=0,"E","D"),IF($L219="DesignDataPlusQA","A",IF($L219="DesignData","B","C")))</f>
        <v>C</v>
      </c>
      <c r="BL219" s="20" t="str">
        <f ca="1">OFFSET(Tab.Uncertainty.Levels!$A$1,MATCH(BL$88,Tab.Uncertainty.Levels!$A:$A,0)-1,MATCH(BL$87&amp;"_"&amp;BK219,Tab.Uncertainty.Levels!$1:$1,0)-1)</f>
        <v>Insulation thickness determined by inspection onsite / record or statement of owner</v>
      </c>
      <c r="BM219" s="24">
        <f ca="1">OFFSET(Tab.Uncertainty.Levels!$A$1,MATCH(BM$88,Tab.Uncertainty.Levels!$A:$A,0)-1,MATCH(BM$87&amp;"_"&amp;BK219,Tab.Uncertainty.Levels!$1:$1,0)-1)</f>
        <v>0.25</v>
      </c>
      <c r="BN219" s="34">
        <f ca="1">OFFSET(Tab.Uncertainty.Levels!$A$1,MATCH(BN$88,Tab.Uncertainty.Levels!$A:$A,0)-1,MATCH(BN$87&amp;"_"&amp;BK219,Tab.Uncertainty.Levels!$1:$1,0)-1)</f>
        <v>2</v>
      </c>
      <c r="BO219" s="13">
        <f ca="1">IFERROR(MIN(BM219,BN219/AN219),0)</f>
        <v>0.16666666666666666</v>
      </c>
      <c r="BP219" s="32" t="str">
        <f>IF(OR($L219="NoDataSource",IFERROR(IF($V219="",#N/A,$V219),0)=0),IF(IFERROR(IF(U219="",#N/A,U219),0)=0,"E","D"),IF($L219="DesignDataPlusQA","A",IF($L219="DesignData","B","C")))</f>
        <v>D</v>
      </c>
      <c r="BQ219" s="20" t="str">
        <f ca="1">OFFSET(Tab.Uncertainty.Levels!$A$1,MATCH(BQ$88,Tab.Uncertainty.Levels!$A:$A,0)-1,MATCH(BQ$87&amp;"_"&amp;BP219,Tab.Uncertainty.Levels!$1:$1,0)-1)</f>
        <v>Insulation available; no information about material</v>
      </c>
      <c r="BR219" s="97">
        <f ca="1">OFFSET(Tab.Uncertainty.Levels!$A$1,MATCH(BR$88,Tab.Uncertainty.Levels!$A:$A,0)-1,MATCH(BR$87&amp;"_"&amp;BP219,Tab.Uncertainty.Levels!$1:$1,0)-1)</f>
        <v>0.2</v>
      </c>
      <c r="BS219" s="32" t="str">
        <f>IF(L219="NoDataSource","D",IF(IFERROR(IF($T219="",#N/A,$T219),0)=0,IF(OR(IFERROR(IF($S219="",#N/A,$S219),0)&gt;0,$R219="Refurbish"),"D","E"),IF($L219="DesignDataPlusQA","A",IF($L219="DesignData","B","C"))))</f>
        <v>C</v>
      </c>
      <c r="BT219" s="20" t="str">
        <f ca="1">OFFSET(Tab.Uncertainty.Levels!$A$1,MATCH(BT$88,Tab.Uncertainty.Levels!$A:$A,0)-1,MATCH(BT$87&amp;"_"&amp;BS219,Tab.Uncertainty.Levels!$1:$1,0)-1)</f>
        <v>Insulation fraction determined by inspection onsite / record or statement of owner</v>
      </c>
      <c r="BU219" s="33">
        <f ca="1">OFFSET(Tab.Uncertainty.Levels!$A$1,MATCH(BU$88,Tab.Uncertainty.Levels!$A:$A,0)-1,MATCH(BU$87&amp;"_"&amp;BS219,Tab.Uncertainty.Levels!$1:$1,0)-1)</f>
        <v>0.2</v>
      </c>
      <c r="BV219" s="13">
        <f ca="1">IFERROR(MIN(BU219/AW219,1,(1-AW219)/AW219),0)</f>
        <v>0.4</v>
      </c>
      <c r="BW219" s="96">
        <f ca="1">ABS(1+(AW219*(1/(1+AN219/100/AP219*AG219)^2-1)))*BJ219*$AG219</f>
        <v>0.23096268253109786</v>
      </c>
      <c r="BX219" s="96">
        <f ca="1">ABS(-AG219+1/(1/AG219+AN219/100/AP219))*BV219*AW219</f>
        <v>0.25116279069767444</v>
      </c>
      <c r="BY219" s="96">
        <f ca="1">ABS(-AW219*AP219/((AP219/AG219+AN219/100)^2))*(BO219*AN219/100)</f>
        <v>1.7036235803136832E-2</v>
      </c>
      <c r="BZ219" s="202">
        <f ca="1">ABS(AW219*AN219/100/(1/AG219*AP219+AN219/100)^2)*(BR219*AP219)</f>
        <v>2.0443482963764199E-2</v>
      </c>
      <c r="CA219" s="103">
        <f t="shared" ca="1" si="198"/>
        <v>0.34224943751456233</v>
      </c>
      <c r="CB219" s="37">
        <f t="shared" ca="1" si="176"/>
        <v>0.26483720930232557</v>
      </c>
      <c r="CC219" s="37">
        <f t="shared" ca="1" si="177"/>
        <v>0.28800000000000003</v>
      </c>
      <c r="CD219" s="37">
        <f t="shared" ca="1" si="178"/>
        <v>1.9534883720930235E-2</v>
      </c>
      <c r="CE219" s="37">
        <f t="shared" ca="1" si="179"/>
        <v>2.3441860465116281E-2</v>
      </c>
      <c r="CF219" s="13">
        <f t="shared" ca="1" si="180"/>
        <v>0.39244602168336484</v>
      </c>
      <c r="CG219" s="101">
        <f ca="1">AG219</f>
        <v>1.5</v>
      </c>
      <c r="CH219" s="101">
        <f>AW219</f>
        <v>0.5</v>
      </c>
      <c r="CI219" s="203">
        <f>IF(CH219&gt;0,AN219,0)</f>
        <v>12</v>
      </c>
      <c r="CJ219" s="102">
        <f ca="1">IF(AND(CH219&gt;0,CI219&gt;0),AP219,0)</f>
        <v>3.5000000000000003E-2</v>
      </c>
      <c r="CK219" s="102">
        <f ca="1">BB219</f>
        <v>0.87209302325581395</v>
      </c>
      <c r="CL219" s="37">
        <f t="shared" ca="1" si="199"/>
        <v>0.3</v>
      </c>
      <c r="CM219" s="37">
        <f t="shared" ca="1" si="200"/>
        <v>0.4</v>
      </c>
      <c r="CN219" s="37">
        <f t="shared" ca="1" si="201"/>
        <v>0.16666666666666666</v>
      </c>
      <c r="CO219" s="37">
        <f t="shared" ca="1" si="202"/>
        <v>0.2</v>
      </c>
      <c r="CP219" s="37">
        <f t="shared" ca="1" si="203"/>
        <v>0.39244602168336484</v>
      </c>
      <c r="CQ219" s="95">
        <f t="shared" ca="1" si="204"/>
        <v>0.44999999999999996</v>
      </c>
      <c r="CR219" s="95">
        <f t="shared" ca="1" si="205"/>
        <v>0.2</v>
      </c>
      <c r="CS219" s="95">
        <f t="shared" ca="1" si="206"/>
        <v>2</v>
      </c>
      <c r="CT219" s="103">
        <f t="shared" ca="1" si="207"/>
        <v>7.000000000000001E-3</v>
      </c>
      <c r="CU219" s="95">
        <f t="shared" ca="1" si="208"/>
        <v>0.34224943751456238</v>
      </c>
      <c r="CV219" s="37">
        <f ca="1">$CB219^2/$CF219^2</f>
        <v>0.45540536645528035</v>
      </c>
      <c r="CW219" s="37">
        <f ca="1">$CD219^2/$CF219^2</f>
        <v>2.4777746145417056E-3</v>
      </c>
      <c r="CX219" s="37">
        <f ca="1">$CE219^2/$CF219^2</f>
        <v>3.5679954449400553E-3</v>
      </c>
      <c r="CY219" s="37">
        <f ca="1">$CC219^2/$CF219^2</f>
        <v>0.53854886348523778</v>
      </c>
      <c r="DA219" s="98" t="s">
        <v>214</v>
      </c>
      <c r="DB219" s="36">
        <f ca="1">OFFSET($A$1,ROW(DB219)-1,MATCH(DA219,$1:$1,0)-1)</f>
        <v>12</v>
      </c>
      <c r="DC219" s="9">
        <f ca="1">BB219</f>
        <v>0.87209302325581395</v>
      </c>
      <c r="DD219" s="9">
        <f ca="1">$DC219+$CA219</f>
        <v>1.2143424607703763</v>
      </c>
      <c r="DE219" s="9">
        <f ca="1">$DC219-$CA219</f>
        <v>0.52984358574125157</v>
      </c>
      <c r="DF219" s="10">
        <f t="shared" ca="1" si="181"/>
        <v>0.39244602168336484</v>
      </c>
    </row>
    <row r="220" spans="1:110" s="8" customFormat="1" ht="32.4" customHeight="1">
      <c r="A220" s="206" t="s">
        <v>656</v>
      </c>
      <c r="B220" s="208" t="s">
        <v>2346</v>
      </c>
      <c r="C220" s="206" t="str">
        <f t="shared" ca="1" si="186"/>
        <v>Parameter-Variation: U_Original = 1,20 W/(m²K) - Year_Building = 1960</v>
      </c>
      <c r="D220" s="206"/>
      <c r="E220" s="206" t="s">
        <v>199</v>
      </c>
      <c r="F220" s="206" t="str">
        <f t="shared" ca="1" si="187"/>
        <v>1,20 W/(m²K) - Year_Building = 1960</v>
      </c>
      <c r="G220" s="206" t="s">
        <v>2170</v>
      </c>
      <c r="H220" s="206" t="s">
        <v>2171</v>
      </c>
      <c r="I220" s="156" t="s">
        <v>80</v>
      </c>
      <c r="J220" s="156" t="s">
        <v>134</v>
      </c>
      <c r="K220" s="156" t="s">
        <v>155</v>
      </c>
      <c r="L220" s="156" t="s">
        <v>66</v>
      </c>
      <c r="M220" s="156" t="s">
        <v>188</v>
      </c>
      <c r="N220" s="7">
        <v>1960</v>
      </c>
      <c r="O220" s="156">
        <v>1</v>
      </c>
      <c r="P220" s="156">
        <v>0</v>
      </c>
      <c r="Q220" s="156" t="s">
        <v>435</v>
      </c>
      <c r="R220" s="156" t="s">
        <v>58</v>
      </c>
      <c r="S220" s="19">
        <v>12</v>
      </c>
      <c r="T220" s="19">
        <v>0.5</v>
      </c>
      <c r="U220" s="19">
        <v>2016</v>
      </c>
      <c r="V220" s="19" t="e">
        <v>#N/A</v>
      </c>
      <c r="W220" s="28" t="s">
        <v>59</v>
      </c>
      <c r="X220" s="19" t="e">
        <v>#N/A</v>
      </c>
      <c r="Y220" s="105">
        <f ca="1">IFERROR(OFFSET(Tab.Const.ConstrBorder!$A$1,MATCH(Q220,Tab.Const.ConstrBorder!$A:$A,0)-1,MATCH(Y$87,Tab.Const.ConstrBorder!$1:$1,0)-1),0)</f>
        <v>0</v>
      </c>
      <c r="Z220" s="18">
        <f t="shared" si="188"/>
        <v>1960</v>
      </c>
      <c r="AA220" s="17">
        <f>MATCH(Z220,Tab.Year.Period!$11:$11,1)-3</f>
        <v>5</v>
      </c>
      <c r="AB220" s="17">
        <f>MATCH(AB$88&amp;"."&amp;TEXT(AA220,"00"),Tab.U.Default!$A:$A,0)</f>
        <v>28</v>
      </c>
      <c r="AC220" s="105">
        <f ca="1">OFFSET(Tab.U.Default!$A$1,$AB220-1,MATCH("U_Class_"&amp;IF($J220="TopCeiling","UpperCeiling",$J220)&amp;"_"&amp;AC$87,Tab.U.Default!$1:$1,0)-1)</f>
        <v>1.2</v>
      </c>
      <c r="AD220" s="105">
        <f ca="1">OFFSET(Tab.U.Default!$A$1,$AB220-1,MATCH("U_Class_"&amp;IF($J220="TopCeiling","UpperCeiling",$J220)&amp;"_"&amp;AD$87,Tab.U.Default!$1:$1,0)-1)</f>
        <v>1.2</v>
      </c>
      <c r="AE220" s="105">
        <f ca="1">OFFSET(Tab.U.Default!$A$1,$AB220-1,MATCH("U_Class_"&amp;IF($J220="TopCeiling","UpperCeiling",$J220)&amp;"_"&amp;AE$87,Tab.U.Default!$1:$1,0)-1)</f>
        <v>0.8</v>
      </c>
      <c r="AF220" s="26">
        <f t="shared" ca="1" si="189"/>
        <v>1.2</v>
      </c>
      <c r="AG220" s="26">
        <f t="shared" ca="1" si="190"/>
        <v>1.2</v>
      </c>
      <c r="AH220" s="18" t="str">
        <f t="shared" si="168"/>
        <v>Refurbish</v>
      </c>
      <c r="AI220" s="18" t="str">
        <f t="shared" si="191"/>
        <v>Add</v>
      </c>
      <c r="AJ220" s="18">
        <f t="shared" si="192"/>
        <v>2016</v>
      </c>
      <c r="AK220" s="17">
        <f>MATCH(AJ220,Tab.Year.Period!$11:$11,1)-3</f>
        <v>12</v>
      </c>
      <c r="AL220" s="17">
        <f>MATCH(AL$88&amp;"."&amp;TEXT(AK220,"00"),Tab.Insulation.Default!$A:$A,0)</f>
        <v>23</v>
      </c>
      <c r="AM220" s="20" t="e">
        <f ca="1">IF(ISNA(IF(S220="",#N/A,S220)),OFFSET(Tab.Insulation.Default!$A$1,$AL220-1,MATCH(AM$87&amp;"_"&amp;$K220,Tab.Insulation.Default!$1:$1,0)-1),#N/A)</f>
        <v>#N/A</v>
      </c>
      <c r="AN220" s="27">
        <f t="shared" si="193"/>
        <v>12</v>
      </c>
      <c r="AO220" s="22">
        <f ca="1">IF(ISNA(IF(V220="",#N/A,V220)),OFFSET(Tab.Insulation.Default!$A$1,$AL220-1,MATCH(AO$87&amp;"_"&amp;$K220,Tab.Insulation.Default!$1:$1,0)-1),#N/A)</f>
        <v>3.5000000000000003E-2</v>
      </c>
      <c r="AP220" s="23">
        <f t="shared" ca="1" si="194"/>
        <v>3.5000000000000003E-2</v>
      </c>
      <c r="AQ220" s="29" t="str">
        <f t="shared" si="169"/>
        <v>Gen.Refurbished.12</v>
      </c>
      <c r="AR220" s="17">
        <f>MATCH(AR$88&amp;"."&amp;AQ220,Tab.Measure.f.Default!$A:$A,0)</f>
        <v>23</v>
      </c>
      <c r="AS220" s="21">
        <f ca="1">OFFSET(Tab.Measure.f.Default!$A$1,AR220-1,MATCH(AS$87&amp;"_"&amp;$J220,Tab.Measure.f.Default!$1:$1,0)-1)</f>
        <v>0.75</v>
      </c>
      <c r="AT220" s="29" t="str">
        <f t="shared" si="170"/>
        <v>MUH.NA.05</v>
      </c>
      <c r="AU220" s="17">
        <f>MATCH(AU$88&amp;"."&amp;AT220,Tab.Measure.f.Default!$A:$A,0)</f>
        <v>40</v>
      </c>
      <c r="AV220" s="21">
        <f ca="1">OFFSET(Tab.Measure.f.Default!$A$1,AU220-1,MATCH(AV$87&amp;"_"&amp;$J220,Tab.Measure.f.Default!$1:$1,0)-1)</f>
        <v>0.37</v>
      </c>
      <c r="AW220" s="30">
        <f t="shared" si="195"/>
        <v>0.5</v>
      </c>
      <c r="AX220" s="9">
        <f t="shared" ca="1" si="171"/>
        <v>0.83333333333333337</v>
      </c>
      <c r="AY220" s="9">
        <f t="shared" ca="1" si="172"/>
        <v>3.4285714285714279</v>
      </c>
      <c r="AZ220" s="9">
        <f t="shared" ca="1" si="196"/>
        <v>4.261904761904761</v>
      </c>
      <c r="BA220" s="9">
        <f t="shared" ca="1" si="197"/>
        <v>0.23463687150837995</v>
      </c>
      <c r="BB220" s="9">
        <f t="shared" ca="1" si="173"/>
        <v>0.71731843575418996</v>
      </c>
      <c r="BC220" s="32" t="str">
        <f t="shared" si="174"/>
        <v>D</v>
      </c>
      <c r="BD220" s="20" t="str">
        <f ca="1">OFFSET(Tab.Uncertainty.Levels!$A$1,MATCH(BD$88,Tab.Uncertainty.Levels!$A:$A,0)-1,MATCH(BD$87&amp;"_"&amp;BC220,Tab.Uncertainty.Levels!$1:$1,0)-1)</f>
        <v>Use of default values; building constructed until 1983</v>
      </c>
      <c r="BE220" s="24">
        <f ca="1">OFFSET(Tab.Uncertainty.Levels!$A$1,MATCH(BE$88,Tab.Uncertainty.Levels!$A:$A,0)-1,MATCH(BE$87&amp;"_"&amp;BC220,Tab.Uncertainty.Levels!$1:$1,0)-1)</f>
        <v>0.3</v>
      </c>
      <c r="BF220" s="32" t="str">
        <f t="shared" si="175"/>
        <v>-</v>
      </c>
      <c r="BG220" s="20" t="e">
        <f ca="1">OFFSET(Tab.Uncertainty.Levels!$A$1,MATCH(BG$88,Tab.Uncertainty.Levels!$A:$A,0)-1,MATCH(BG$87&amp;"_"&amp;BF220,Tab.Uncertainty.Levels!$1:$1,0)-1)</f>
        <v>#N/A</v>
      </c>
      <c r="BH220" s="24" t="e">
        <f ca="1">OFFSET(Tab.Uncertainty.Levels!$A$1,MATCH(BH$88,Tab.Uncertainty.Levels!$A:$A,0)-1,MATCH(BH$87&amp;"_"&amp;BF220,Tab.Uncertainty.Levels!$1:$1,0)-1)</f>
        <v>#N/A</v>
      </c>
      <c r="BI220" s="32" t="str">
        <f t="shared" si="137"/>
        <v>D</v>
      </c>
      <c r="BJ220" s="13">
        <f ca="1">IF(BF220="-",BE220,BH220)</f>
        <v>0.3</v>
      </c>
      <c r="BK220" s="32" t="str">
        <f>IF(OR($L220="NoDataSource",IFERROR(IF($S220="",#N/A,$S220),0)=0),IF(IFERROR(IF(U220="",#N/A,U220),0)=0,"E","D"),IF($L220="DesignDataPlusQA","A",IF($L220="DesignData","B","C")))</f>
        <v>C</v>
      </c>
      <c r="BL220" s="20" t="str">
        <f ca="1">OFFSET(Tab.Uncertainty.Levels!$A$1,MATCH(BL$88,Tab.Uncertainty.Levels!$A:$A,0)-1,MATCH(BL$87&amp;"_"&amp;BK220,Tab.Uncertainty.Levels!$1:$1,0)-1)</f>
        <v>Insulation thickness determined by inspection onsite / record or statement of owner</v>
      </c>
      <c r="BM220" s="24">
        <f ca="1">OFFSET(Tab.Uncertainty.Levels!$A$1,MATCH(BM$88,Tab.Uncertainty.Levels!$A:$A,0)-1,MATCH(BM$87&amp;"_"&amp;BK220,Tab.Uncertainty.Levels!$1:$1,0)-1)</f>
        <v>0.25</v>
      </c>
      <c r="BN220" s="34">
        <f ca="1">OFFSET(Tab.Uncertainty.Levels!$A$1,MATCH(BN$88,Tab.Uncertainty.Levels!$A:$A,0)-1,MATCH(BN$87&amp;"_"&amp;BK220,Tab.Uncertainty.Levels!$1:$1,0)-1)</f>
        <v>2</v>
      </c>
      <c r="BO220" s="13">
        <f ca="1">IFERROR(MIN(BM220,BN220/AN220),0)</f>
        <v>0.16666666666666666</v>
      </c>
      <c r="BP220" s="32" t="str">
        <f>IF(OR($L220="NoDataSource",IFERROR(IF($V220="",#N/A,$V220),0)=0),IF(IFERROR(IF(U220="",#N/A,U220),0)=0,"E","D"),IF($L220="DesignDataPlusQA","A",IF($L220="DesignData","B","C")))</f>
        <v>D</v>
      </c>
      <c r="BQ220" s="20" t="str">
        <f ca="1">OFFSET(Tab.Uncertainty.Levels!$A$1,MATCH(BQ$88,Tab.Uncertainty.Levels!$A:$A,0)-1,MATCH(BQ$87&amp;"_"&amp;BP220,Tab.Uncertainty.Levels!$1:$1,0)-1)</f>
        <v>Insulation available; no information about material</v>
      </c>
      <c r="BR220" s="97">
        <f ca="1">OFFSET(Tab.Uncertainty.Levels!$A$1,MATCH(BR$88,Tab.Uncertainty.Levels!$A:$A,0)-1,MATCH(BR$87&amp;"_"&amp;BP220,Tab.Uncertainty.Levels!$1:$1,0)-1)</f>
        <v>0.2</v>
      </c>
      <c r="BS220" s="32" t="str">
        <f>IF(L220="NoDataSource","D",IF(IFERROR(IF($T220="",#N/A,$T220),0)=0,IF(OR(IFERROR(IF($S220="",#N/A,$S220),0)&gt;0,$R220="Refurbish"),"D","E"),IF($L220="DesignDataPlusQA","A",IF($L220="DesignData","B","C"))))</f>
        <v>C</v>
      </c>
      <c r="BT220" s="20" t="str">
        <f ca="1">OFFSET(Tab.Uncertainty.Levels!$A$1,MATCH(BT$88,Tab.Uncertainty.Levels!$A:$A,0)-1,MATCH(BT$87&amp;"_"&amp;BS220,Tab.Uncertainty.Levels!$1:$1,0)-1)</f>
        <v>Insulation fraction determined by inspection onsite / record or statement of owner</v>
      </c>
      <c r="BU220" s="33">
        <f ca="1">OFFSET(Tab.Uncertainty.Levels!$A$1,MATCH(BU$88,Tab.Uncertainty.Levels!$A:$A,0)-1,MATCH(BU$87&amp;"_"&amp;BS220,Tab.Uncertainty.Levels!$1:$1,0)-1)</f>
        <v>0.2</v>
      </c>
      <c r="BV220" s="13">
        <f ca="1">IFERROR(MIN(BU220/AW220,1,(1-AW220)/AW220),0)</f>
        <v>0.4</v>
      </c>
      <c r="BW220" s="96">
        <f ca="1">ABS(1+(AW220*(1/(1+AN220/100/AP220*AG220)^2-1)))*BJ220*$AG220</f>
        <v>0.186881807683905</v>
      </c>
      <c r="BX220" s="96">
        <f ca="1">ABS(-AG220+1/(1/AG220+AN220/100/AP220))*BV220*AW220</f>
        <v>0.19307262569832401</v>
      </c>
      <c r="BY220" s="96">
        <f ca="1">ABS(-AW220*AP220/((AP220/AG220+AN220/100)^2))*(BO220*AN220/100)</f>
        <v>1.5729846134639992E-2</v>
      </c>
      <c r="BZ220" s="202">
        <f ca="1">ABS(AW220*AN220/100/(1/AG220*AP220+AN220/100)^2)*(BR220*AP220)</f>
        <v>1.8875815361567995E-2</v>
      </c>
      <c r="CA220" s="103">
        <f t="shared" ca="1" si="198"/>
        <v>0.26982507908315828</v>
      </c>
      <c r="CB220" s="37">
        <f t="shared" ca="1" si="176"/>
        <v>0.26052837675559964</v>
      </c>
      <c r="CC220" s="37">
        <f t="shared" ca="1" si="177"/>
        <v>0.26915887850467285</v>
      </c>
      <c r="CD220" s="37">
        <f t="shared" ca="1" si="178"/>
        <v>2.1928679580222418E-2</v>
      </c>
      <c r="CE220" s="37">
        <f t="shared" ca="1" si="179"/>
        <v>2.6314415496266907E-2</v>
      </c>
      <c r="CF220" s="13">
        <f t="shared" ca="1" si="180"/>
        <v>0.37615801523275183</v>
      </c>
      <c r="CG220" s="101">
        <f ca="1">AG220</f>
        <v>1.2</v>
      </c>
      <c r="CH220" s="101">
        <f>AW220</f>
        <v>0.5</v>
      </c>
      <c r="CI220" s="203">
        <f>IF(CH220&gt;0,AN220,0)</f>
        <v>12</v>
      </c>
      <c r="CJ220" s="102">
        <f ca="1">IF(AND(CH220&gt;0,CI220&gt;0),AP220,0)</f>
        <v>3.5000000000000003E-2</v>
      </c>
      <c r="CK220" s="102">
        <f ca="1">BB220</f>
        <v>0.71731843575418996</v>
      </c>
      <c r="CL220" s="37">
        <f t="shared" ca="1" si="199"/>
        <v>0.3</v>
      </c>
      <c r="CM220" s="37">
        <f t="shared" ca="1" si="200"/>
        <v>0.4</v>
      </c>
      <c r="CN220" s="37">
        <f t="shared" ca="1" si="201"/>
        <v>0.16666666666666666</v>
      </c>
      <c r="CO220" s="37">
        <f t="shared" ca="1" si="202"/>
        <v>0.2</v>
      </c>
      <c r="CP220" s="37">
        <f t="shared" ca="1" si="203"/>
        <v>0.37615801523275183</v>
      </c>
      <c r="CQ220" s="95">
        <f t="shared" ca="1" si="204"/>
        <v>0.36</v>
      </c>
      <c r="CR220" s="95">
        <f t="shared" ca="1" si="205"/>
        <v>0.2</v>
      </c>
      <c r="CS220" s="95">
        <f t="shared" ca="1" si="206"/>
        <v>2</v>
      </c>
      <c r="CT220" s="103">
        <f t="shared" ca="1" si="207"/>
        <v>7.000000000000001E-3</v>
      </c>
      <c r="CU220" s="95">
        <f t="shared" ca="1" si="208"/>
        <v>0.26982507908315828</v>
      </c>
      <c r="CV220" s="37">
        <f ca="1">$CB220^2/$CF220^2</f>
        <v>0.47969967763625954</v>
      </c>
      <c r="CW220" s="37">
        <f ca="1">$CD220^2/$CF220^2</f>
        <v>3.3984769049522907E-3</v>
      </c>
      <c r="CX220" s="37">
        <f ca="1">$CE220^2/$CF220^2</f>
        <v>4.893806743131301E-3</v>
      </c>
      <c r="CY220" s="37">
        <f ca="1">$CC220^2/$CF220^2</f>
        <v>0.51200803871565681</v>
      </c>
      <c r="DA220" s="98" t="s">
        <v>214</v>
      </c>
      <c r="DB220" s="36">
        <f ca="1">OFFSET($A$1,ROW(DB220)-1,MATCH(DA220,$1:$1,0)-1)</f>
        <v>12</v>
      </c>
      <c r="DC220" s="9">
        <f ca="1">BB220</f>
        <v>0.71731843575418996</v>
      </c>
      <c r="DD220" s="9">
        <f ca="1">$DC220+$CA220</f>
        <v>0.98714351483734819</v>
      </c>
      <c r="DE220" s="9">
        <f ca="1">$DC220-$CA220</f>
        <v>0.44749335667103168</v>
      </c>
      <c r="DF220" s="10">
        <f t="shared" ca="1" si="181"/>
        <v>0.37615801523275172</v>
      </c>
    </row>
    <row r="221" spans="1:110" s="8" customFormat="1" ht="32.4" customHeight="1">
      <c r="A221" s="206" t="s">
        <v>657</v>
      </c>
      <c r="B221" s="208" t="s">
        <v>2346</v>
      </c>
      <c r="C221" s="206" t="str">
        <f t="shared" ca="1" si="186"/>
        <v>Parameter-Variation: U_Original = 1,00 W/(m²K) - Year_Building = 1970</v>
      </c>
      <c r="D221" s="206"/>
      <c r="E221" s="206" t="s">
        <v>199</v>
      </c>
      <c r="F221" s="206" t="str">
        <f t="shared" ca="1" si="187"/>
        <v>1,00 W/(m²K) - Year_Building = 1970</v>
      </c>
      <c r="G221" s="206" t="s">
        <v>2170</v>
      </c>
      <c r="H221" s="206" t="s">
        <v>2171</v>
      </c>
      <c r="I221" s="156" t="s">
        <v>80</v>
      </c>
      <c r="J221" s="156" t="s">
        <v>134</v>
      </c>
      <c r="K221" s="156" t="s">
        <v>155</v>
      </c>
      <c r="L221" s="156" t="s">
        <v>66</v>
      </c>
      <c r="M221" s="156" t="s">
        <v>188</v>
      </c>
      <c r="N221" s="7">
        <v>1970</v>
      </c>
      <c r="O221" s="156">
        <v>1</v>
      </c>
      <c r="P221" s="156">
        <v>0</v>
      </c>
      <c r="Q221" s="156" t="s">
        <v>435</v>
      </c>
      <c r="R221" s="156" t="s">
        <v>58</v>
      </c>
      <c r="S221" s="19">
        <v>12</v>
      </c>
      <c r="T221" s="19">
        <v>0.5</v>
      </c>
      <c r="U221" s="19">
        <v>2016</v>
      </c>
      <c r="V221" s="19" t="e">
        <v>#N/A</v>
      </c>
      <c r="W221" s="28" t="s">
        <v>59</v>
      </c>
      <c r="X221" s="19" t="e">
        <v>#N/A</v>
      </c>
      <c r="Y221" s="105">
        <f ca="1">IFERROR(OFFSET(Tab.Const.ConstrBorder!$A$1,MATCH(Q221,Tab.Const.ConstrBorder!$A:$A,0)-1,MATCH(Y$87,Tab.Const.ConstrBorder!$1:$1,0)-1),0)</f>
        <v>0</v>
      </c>
      <c r="Z221" s="18">
        <f t="shared" si="188"/>
        <v>1970</v>
      </c>
      <c r="AA221" s="17">
        <f>MATCH(Z221,Tab.Year.Period!$11:$11,1)-3</f>
        <v>6</v>
      </c>
      <c r="AB221" s="17">
        <f>MATCH(AB$88&amp;"."&amp;TEXT(AA221,"00"),Tab.U.Default!$A:$A,0)</f>
        <v>29</v>
      </c>
      <c r="AC221" s="105">
        <f ca="1">OFFSET(Tab.U.Default!$A$1,$AB221-1,MATCH("U_Class_"&amp;IF($J221="TopCeiling","UpperCeiling",$J221)&amp;"_"&amp;AC$87,Tab.U.Default!$1:$1,0)-1)</f>
        <v>1</v>
      </c>
      <c r="AD221" s="105">
        <f ca="1">OFFSET(Tab.U.Default!$A$1,$AB221-1,MATCH("U_Class_"&amp;IF($J221="TopCeiling","UpperCeiling",$J221)&amp;"_"&amp;AD$87,Tab.U.Default!$1:$1,0)-1)</f>
        <v>1</v>
      </c>
      <c r="AE221" s="105">
        <f ca="1">OFFSET(Tab.U.Default!$A$1,$AB221-1,MATCH("U_Class_"&amp;IF($J221="TopCeiling","UpperCeiling",$J221)&amp;"_"&amp;AE$87,Tab.U.Default!$1:$1,0)-1)</f>
        <v>0.6</v>
      </c>
      <c r="AF221" s="26">
        <f t="shared" ca="1" si="189"/>
        <v>1</v>
      </c>
      <c r="AG221" s="26">
        <f t="shared" ca="1" si="190"/>
        <v>1</v>
      </c>
      <c r="AH221" s="18" t="str">
        <f t="shared" si="168"/>
        <v>Refurbish</v>
      </c>
      <c r="AI221" s="18" t="str">
        <f t="shared" si="191"/>
        <v>Add</v>
      </c>
      <c r="AJ221" s="18">
        <f t="shared" si="192"/>
        <v>2016</v>
      </c>
      <c r="AK221" s="17">
        <f>MATCH(AJ221,Tab.Year.Period!$11:$11,1)-3</f>
        <v>12</v>
      </c>
      <c r="AL221" s="17">
        <f>MATCH(AL$88&amp;"."&amp;TEXT(AK221,"00"),Tab.Insulation.Default!$A:$A,0)</f>
        <v>23</v>
      </c>
      <c r="AM221" s="20" t="e">
        <f ca="1">IF(ISNA(IF(S221="",#N/A,S221)),OFFSET(Tab.Insulation.Default!$A$1,$AL221-1,MATCH(AM$87&amp;"_"&amp;$K221,Tab.Insulation.Default!$1:$1,0)-1),#N/A)</f>
        <v>#N/A</v>
      </c>
      <c r="AN221" s="27">
        <f t="shared" si="193"/>
        <v>12</v>
      </c>
      <c r="AO221" s="22">
        <f ca="1">IF(ISNA(IF(V221="",#N/A,V221)),OFFSET(Tab.Insulation.Default!$A$1,$AL221-1,MATCH(AO$87&amp;"_"&amp;$K221,Tab.Insulation.Default!$1:$1,0)-1),#N/A)</f>
        <v>3.5000000000000003E-2</v>
      </c>
      <c r="AP221" s="23">
        <f t="shared" ca="1" si="194"/>
        <v>3.5000000000000003E-2</v>
      </c>
      <c r="AQ221" s="29" t="str">
        <f t="shared" si="169"/>
        <v>Gen.Refurbished.12</v>
      </c>
      <c r="AR221" s="17">
        <f>MATCH(AR$88&amp;"."&amp;AQ221,Tab.Measure.f.Default!$A:$A,0)</f>
        <v>23</v>
      </c>
      <c r="AS221" s="21">
        <f ca="1">OFFSET(Tab.Measure.f.Default!$A$1,AR221-1,MATCH(AS$87&amp;"_"&amp;$J221,Tab.Measure.f.Default!$1:$1,0)-1)</f>
        <v>0.75</v>
      </c>
      <c r="AT221" s="29" t="str">
        <f t="shared" si="170"/>
        <v>MUH.NA.06</v>
      </c>
      <c r="AU221" s="17">
        <f>MATCH(AU$88&amp;"."&amp;AT221,Tab.Measure.f.Default!$A:$A,0)</f>
        <v>41</v>
      </c>
      <c r="AV221" s="21">
        <f ca="1">OFFSET(Tab.Measure.f.Default!$A$1,AU221-1,MATCH(AV$87&amp;"_"&amp;$J221,Tab.Measure.f.Default!$1:$1,0)-1)</f>
        <v>0.37</v>
      </c>
      <c r="AW221" s="30">
        <f t="shared" si="195"/>
        <v>0.5</v>
      </c>
      <c r="AX221" s="9">
        <f t="shared" ca="1" si="171"/>
        <v>1</v>
      </c>
      <c r="AY221" s="9">
        <f t="shared" ca="1" si="172"/>
        <v>3.4285714285714279</v>
      </c>
      <c r="AZ221" s="9">
        <f t="shared" ca="1" si="196"/>
        <v>4.4285714285714279</v>
      </c>
      <c r="BA221" s="9">
        <f t="shared" ca="1" si="197"/>
        <v>0.22580645161290325</v>
      </c>
      <c r="BB221" s="9">
        <f t="shared" ca="1" si="173"/>
        <v>0.61290322580645162</v>
      </c>
      <c r="BC221" s="32" t="str">
        <f t="shared" si="174"/>
        <v>D</v>
      </c>
      <c r="BD221" s="20" t="str">
        <f ca="1">OFFSET(Tab.Uncertainty.Levels!$A$1,MATCH(BD$88,Tab.Uncertainty.Levels!$A:$A,0)-1,MATCH(BD$87&amp;"_"&amp;BC221,Tab.Uncertainty.Levels!$1:$1,0)-1)</f>
        <v>Use of default values; building constructed until 1983</v>
      </c>
      <c r="BE221" s="24">
        <f ca="1">OFFSET(Tab.Uncertainty.Levels!$A$1,MATCH(BE$88,Tab.Uncertainty.Levels!$A:$A,0)-1,MATCH(BE$87&amp;"_"&amp;BC221,Tab.Uncertainty.Levels!$1:$1,0)-1)</f>
        <v>0.3</v>
      </c>
      <c r="BF221" s="32" t="str">
        <f t="shared" si="175"/>
        <v>-</v>
      </c>
      <c r="BG221" s="20" t="e">
        <f ca="1">OFFSET(Tab.Uncertainty.Levels!$A$1,MATCH(BG$88,Tab.Uncertainty.Levels!$A:$A,0)-1,MATCH(BG$87&amp;"_"&amp;BF221,Tab.Uncertainty.Levels!$1:$1,0)-1)</f>
        <v>#N/A</v>
      </c>
      <c r="BH221" s="24" t="e">
        <f ca="1">OFFSET(Tab.Uncertainty.Levels!$A$1,MATCH(BH$88,Tab.Uncertainty.Levels!$A:$A,0)-1,MATCH(BH$87&amp;"_"&amp;BF221,Tab.Uncertainty.Levels!$1:$1,0)-1)</f>
        <v>#N/A</v>
      </c>
      <c r="BI221" s="32" t="str">
        <f t="shared" si="137"/>
        <v>D</v>
      </c>
      <c r="BJ221" s="13">
        <f ca="1">IF(BF221="-",BE221,BH221)</f>
        <v>0.3</v>
      </c>
      <c r="BK221" s="32" t="str">
        <f>IF(OR($L221="NoDataSource",IFERROR(IF($S221="",#N/A,$S221),0)=0),IF(IFERROR(IF(U221="",#N/A,U221),0)=0,"E","D"),IF($L221="DesignDataPlusQA","A",IF($L221="DesignData","B","C")))</f>
        <v>C</v>
      </c>
      <c r="BL221" s="20" t="str">
        <f ca="1">OFFSET(Tab.Uncertainty.Levels!$A$1,MATCH(BL$88,Tab.Uncertainty.Levels!$A:$A,0)-1,MATCH(BL$87&amp;"_"&amp;BK221,Tab.Uncertainty.Levels!$1:$1,0)-1)</f>
        <v>Insulation thickness determined by inspection onsite / record or statement of owner</v>
      </c>
      <c r="BM221" s="24">
        <f ca="1">OFFSET(Tab.Uncertainty.Levels!$A$1,MATCH(BM$88,Tab.Uncertainty.Levels!$A:$A,0)-1,MATCH(BM$87&amp;"_"&amp;BK221,Tab.Uncertainty.Levels!$1:$1,0)-1)</f>
        <v>0.25</v>
      </c>
      <c r="BN221" s="34">
        <f ca="1">OFFSET(Tab.Uncertainty.Levels!$A$1,MATCH(BN$88,Tab.Uncertainty.Levels!$A:$A,0)-1,MATCH(BN$87&amp;"_"&amp;BK221,Tab.Uncertainty.Levels!$1:$1,0)-1)</f>
        <v>2</v>
      </c>
      <c r="BO221" s="13">
        <f ca="1">IFERROR(MIN(BM221,BN221/AN221),0)</f>
        <v>0.16666666666666666</v>
      </c>
      <c r="BP221" s="32" t="str">
        <f>IF(OR($L221="NoDataSource",IFERROR(IF($V221="",#N/A,$V221),0)=0),IF(IFERROR(IF(U221="",#N/A,U221),0)=0,"E","D"),IF($L221="DesignDataPlusQA","A",IF($L221="DesignData","B","C")))</f>
        <v>D</v>
      </c>
      <c r="BQ221" s="20" t="str">
        <f ca="1">OFFSET(Tab.Uncertainty.Levels!$A$1,MATCH(BQ$88,Tab.Uncertainty.Levels!$A:$A,0)-1,MATCH(BQ$87&amp;"_"&amp;BP221,Tab.Uncertainty.Levels!$1:$1,0)-1)</f>
        <v>Insulation available; no information about material</v>
      </c>
      <c r="BR221" s="97">
        <f ca="1">OFFSET(Tab.Uncertainty.Levels!$A$1,MATCH(BR$88,Tab.Uncertainty.Levels!$A:$A,0)-1,MATCH(BR$87&amp;"_"&amp;BP221,Tab.Uncertainty.Levels!$1:$1,0)-1)</f>
        <v>0.2</v>
      </c>
      <c r="BS221" s="32" t="str">
        <f>IF(L221="NoDataSource","D",IF(IFERROR(IF($T221="",#N/A,$T221),0)=0,IF(OR(IFERROR(IF($S221="",#N/A,$S221),0)&gt;0,$R221="Refurbish"),"D","E"),IF($L221="DesignDataPlusQA","A",IF($L221="DesignData","B","C"))))</f>
        <v>C</v>
      </c>
      <c r="BT221" s="20" t="str">
        <f ca="1">OFFSET(Tab.Uncertainty.Levels!$A$1,MATCH(BT$88,Tab.Uncertainty.Levels!$A:$A,0)-1,MATCH(BT$87&amp;"_"&amp;BS221,Tab.Uncertainty.Levels!$1:$1,0)-1)</f>
        <v>Insulation fraction determined by inspection onsite / record or statement of owner</v>
      </c>
      <c r="BU221" s="33">
        <f ca="1">OFFSET(Tab.Uncertainty.Levels!$A$1,MATCH(BU$88,Tab.Uncertainty.Levels!$A:$A,0)-1,MATCH(BU$87&amp;"_"&amp;BS221,Tab.Uncertainty.Levels!$1:$1,0)-1)</f>
        <v>0.2</v>
      </c>
      <c r="BV221" s="13">
        <f ca="1">IFERROR(MIN(BU221/AW221,1,(1-AW221)/AW221),0)</f>
        <v>0.4</v>
      </c>
      <c r="BW221" s="96">
        <f ca="1">ABS(1+(AW221*(1/(1+AN221/100/AP221*AG221)^2-1)))*BJ221*$AG221</f>
        <v>0.15764828303850156</v>
      </c>
      <c r="BX221" s="96">
        <f ca="1">ABS(-AG221+1/(1/AG221+AN221/100/AP221))*BV221*AW221</f>
        <v>0.15483870967741936</v>
      </c>
      <c r="BY221" s="96">
        <f ca="1">ABS(-AW221*AP221/((AP221/AG221+AN221/100)^2))*(BO221*AN221/100)</f>
        <v>1.4568158168574404E-2</v>
      </c>
      <c r="BZ221" s="202">
        <f ca="1">ABS(AW221*AN221/100/(1/AG221*AP221+AN221/100)^2)*(BR221*AP221)</f>
        <v>1.7481789802289285E-2</v>
      </c>
      <c r="CA221" s="103">
        <f t="shared" ca="1" si="198"/>
        <v>0.22213926120042735</v>
      </c>
      <c r="CB221" s="37">
        <f t="shared" ca="1" si="176"/>
        <v>0.25721561969439727</v>
      </c>
      <c r="CC221" s="37">
        <f t="shared" ca="1" si="177"/>
        <v>0.25263157894736843</v>
      </c>
      <c r="CD221" s="37">
        <f t="shared" ca="1" si="178"/>
        <v>2.3769100169779289E-2</v>
      </c>
      <c r="CE221" s="37">
        <f t="shared" ca="1" si="179"/>
        <v>2.8522920203735147E-2</v>
      </c>
      <c r="CF221" s="13">
        <f t="shared" ca="1" si="180"/>
        <v>0.36243774195859196</v>
      </c>
      <c r="CG221" s="101">
        <f ca="1">AG221</f>
        <v>1</v>
      </c>
      <c r="CH221" s="101">
        <f>AW221</f>
        <v>0.5</v>
      </c>
      <c r="CI221" s="203">
        <f>IF(CH221&gt;0,AN221,0)</f>
        <v>12</v>
      </c>
      <c r="CJ221" s="102">
        <f ca="1">IF(AND(CH221&gt;0,CI221&gt;0),AP221,0)</f>
        <v>3.5000000000000003E-2</v>
      </c>
      <c r="CK221" s="102">
        <f ca="1">BB221</f>
        <v>0.61290322580645162</v>
      </c>
      <c r="CL221" s="37">
        <f t="shared" ca="1" si="199"/>
        <v>0.3</v>
      </c>
      <c r="CM221" s="37">
        <f t="shared" ca="1" si="200"/>
        <v>0.4</v>
      </c>
      <c r="CN221" s="37">
        <f t="shared" ca="1" si="201"/>
        <v>0.16666666666666666</v>
      </c>
      <c r="CO221" s="37">
        <f t="shared" ca="1" si="202"/>
        <v>0.2</v>
      </c>
      <c r="CP221" s="37">
        <f t="shared" ca="1" si="203"/>
        <v>0.36243774195859196</v>
      </c>
      <c r="CQ221" s="95">
        <f t="shared" ca="1" si="204"/>
        <v>0.3</v>
      </c>
      <c r="CR221" s="95">
        <f t="shared" ca="1" si="205"/>
        <v>0.2</v>
      </c>
      <c r="CS221" s="95">
        <f t="shared" ca="1" si="206"/>
        <v>2</v>
      </c>
      <c r="CT221" s="103">
        <f t="shared" ca="1" si="207"/>
        <v>7.000000000000001E-3</v>
      </c>
      <c r="CU221" s="95">
        <f t="shared" ca="1" si="208"/>
        <v>0.22213926120042735</v>
      </c>
      <c r="CV221" s="37">
        <f ca="1">$CB221^2/$CF221^2</f>
        <v>0.50364884699857992</v>
      </c>
      <c r="CW221" s="37">
        <f ca="1">$CD221^2/$CF221^2</f>
        <v>4.30089311556478E-3</v>
      </c>
      <c r="CX221" s="37">
        <f ca="1">$CE221^2/$CF221^2</f>
        <v>6.1932860864132829E-3</v>
      </c>
      <c r="CY221" s="37">
        <f ca="1">$CC221^2/$CF221^2</f>
        <v>0.48585697379944193</v>
      </c>
      <c r="DA221" s="98" t="s">
        <v>214</v>
      </c>
      <c r="DB221" s="36">
        <f ca="1">OFFSET($A$1,ROW(DB221)-1,MATCH(DA221,$1:$1,0)-1)</f>
        <v>12</v>
      </c>
      <c r="DC221" s="9">
        <f ca="1">BB221</f>
        <v>0.61290322580645162</v>
      </c>
      <c r="DD221" s="9">
        <f ca="1">$DC221+$CA221</f>
        <v>0.835042487006879</v>
      </c>
      <c r="DE221" s="9">
        <f ca="1">$DC221-$CA221</f>
        <v>0.39076396460602425</v>
      </c>
      <c r="DF221" s="10">
        <f t="shared" ca="1" si="181"/>
        <v>0.36243774195859202</v>
      </c>
    </row>
    <row r="222" spans="1:110" s="8" customFormat="1" ht="32.4" customHeight="1">
      <c r="A222" s="206" t="s">
        <v>658</v>
      </c>
      <c r="B222" s="208" t="s">
        <v>2346</v>
      </c>
      <c r="C222" s="206" t="str">
        <f t="shared" ca="1" si="186"/>
        <v>Parameter-Variation: U_Original = 0,80 W/(m²K) - Year_Building = 1980</v>
      </c>
      <c r="D222" s="206"/>
      <c r="E222" s="206" t="s">
        <v>199</v>
      </c>
      <c r="F222" s="206" t="str">
        <f t="shared" ca="1" si="187"/>
        <v>0,80 W/(m²K) - Year_Building = 1980</v>
      </c>
      <c r="G222" s="206" t="s">
        <v>2170</v>
      </c>
      <c r="H222" s="206" t="s">
        <v>2171</v>
      </c>
      <c r="I222" s="156" t="s">
        <v>80</v>
      </c>
      <c r="J222" s="156" t="s">
        <v>134</v>
      </c>
      <c r="K222" s="156" t="s">
        <v>155</v>
      </c>
      <c r="L222" s="156" t="s">
        <v>66</v>
      </c>
      <c r="M222" s="156" t="s">
        <v>188</v>
      </c>
      <c r="N222" s="7">
        <v>1980</v>
      </c>
      <c r="O222" s="156">
        <v>1</v>
      </c>
      <c r="P222" s="156">
        <v>0</v>
      </c>
      <c r="Q222" s="156" t="s">
        <v>435</v>
      </c>
      <c r="R222" s="156" t="s">
        <v>58</v>
      </c>
      <c r="S222" s="19">
        <v>12</v>
      </c>
      <c r="T222" s="19">
        <v>0.5</v>
      </c>
      <c r="U222" s="19">
        <v>2016</v>
      </c>
      <c r="V222" s="19" t="e">
        <v>#N/A</v>
      </c>
      <c r="W222" s="28" t="s">
        <v>59</v>
      </c>
      <c r="X222" s="19" t="e">
        <v>#N/A</v>
      </c>
      <c r="Y222" s="105">
        <f ca="1">IFERROR(OFFSET(Tab.Const.ConstrBorder!$A$1,MATCH(Q222,Tab.Const.ConstrBorder!$A:$A,0)-1,MATCH(Y$87,Tab.Const.ConstrBorder!$1:$1,0)-1),0)</f>
        <v>0</v>
      </c>
      <c r="Z222" s="18">
        <f t="shared" si="188"/>
        <v>1980</v>
      </c>
      <c r="AA222" s="17">
        <f>MATCH(Z222,Tab.Year.Period!$11:$11,1)-3</f>
        <v>7</v>
      </c>
      <c r="AB222" s="17">
        <f>MATCH(AB$88&amp;"."&amp;TEXT(AA222,"00"),Tab.U.Default!$A:$A,0)</f>
        <v>30</v>
      </c>
      <c r="AC222" s="105">
        <f ca="1">OFFSET(Tab.U.Default!$A$1,$AB222-1,MATCH("U_Class_"&amp;IF($J222="TopCeiling","UpperCeiling",$J222)&amp;"_"&amp;AC$87,Tab.U.Default!$1:$1,0)-1)</f>
        <v>0.8</v>
      </c>
      <c r="AD222" s="105">
        <f ca="1">OFFSET(Tab.U.Default!$A$1,$AB222-1,MATCH("U_Class_"&amp;IF($J222="TopCeiling","UpperCeiling",$J222)&amp;"_"&amp;AD$87,Tab.U.Default!$1:$1,0)-1)</f>
        <v>0.8</v>
      </c>
      <c r="AE222" s="105">
        <f ca="1">OFFSET(Tab.U.Default!$A$1,$AB222-1,MATCH("U_Class_"&amp;IF($J222="TopCeiling","UpperCeiling",$J222)&amp;"_"&amp;AE$87,Tab.U.Default!$1:$1,0)-1)</f>
        <v>0.5</v>
      </c>
      <c r="AF222" s="26">
        <f t="shared" ca="1" si="189"/>
        <v>0.8</v>
      </c>
      <c r="AG222" s="26">
        <f t="shared" ca="1" si="190"/>
        <v>0.8</v>
      </c>
      <c r="AH222" s="18" t="str">
        <f t="shared" si="168"/>
        <v>Refurbish</v>
      </c>
      <c r="AI222" s="18" t="str">
        <f t="shared" si="191"/>
        <v>Add</v>
      </c>
      <c r="AJ222" s="18">
        <f t="shared" si="192"/>
        <v>2016</v>
      </c>
      <c r="AK222" s="17">
        <f>MATCH(AJ222,Tab.Year.Period!$11:$11,1)-3</f>
        <v>12</v>
      </c>
      <c r="AL222" s="17">
        <f>MATCH(AL$88&amp;"."&amp;TEXT(AK222,"00"),Tab.Insulation.Default!$A:$A,0)</f>
        <v>23</v>
      </c>
      <c r="AM222" s="20" t="e">
        <f ca="1">IF(ISNA(IF(S222="",#N/A,S222)),OFFSET(Tab.Insulation.Default!$A$1,$AL222-1,MATCH(AM$87&amp;"_"&amp;$K222,Tab.Insulation.Default!$1:$1,0)-1),#N/A)</f>
        <v>#N/A</v>
      </c>
      <c r="AN222" s="27">
        <f t="shared" si="193"/>
        <v>12</v>
      </c>
      <c r="AO222" s="22">
        <f ca="1">IF(ISNA(IF(V222="",#N/A,V222)),OFFSET(Tab.Insulation.Default!$A$1,$AL222-1,MATCH(AO$87&amp;"_"&amp;$K222,Tab.Insulation.Default!$1:$1,0)-1),#N/A)</f>
        <v>3.5000000000000003E-2</v>
      </c>
      <c r="AP222" s="23">
        <f t="shared" ca="1" si="194"/>
        <v>3.5000000000000003E-2</v>
      </c>
      <c r="AQ222" s="29" t="str">
        <f t="shared" si="169"/>
        <v>Gen.Refurbished.12</v>
      </c>
      <c r="AR222" s="17">
        <f>MATCH(AR$88&amp;"."&amp;AQ222,Tab.Measure.f.Default!$A:$A,0)</f>
        <v>23</v>
      </c>
      <c r="AS222" s="21">
        <f ca="1">OFFSET(Tab.Measure.f.Default!$A$1,AR222-1,MATCH(AS$87&amp;"_"&amp;$J222,Tab.Measure.f.Default!$1:$1,0)-1)</f>
        <v>0.75</v>
      </c>
      <c r="AT222" s="29" t="str">
        <f t="shared" si="170"/>
        <v>MUH.NA.07</v>
      </c>
      <c r="AU222" s="17">
        <f>MATCH(AU$88&amp;"."&amp;AT222,Tab.Measure.f.Default!$A:$A,0)</f>
        <v>42</v>
      </c>
      <c r="AV222" s="21">
        <f ca="1">OFFSET(Tab.Measure.f.Default!$A$1,AU222-1,MATCH(AV$87&amp;"_"&amp;$J222,Tab.Measure.f.Default!$1:$1,0)-1)</f>
        <v>0.1</v>
      </c>
      <c r="AW222" s="30">
        <f t="shared" si="195"/>
        <v>0.5</v>
      </c>
      <c r="AX222" s="9">
        <f t="shared" ca="1" si="171"/>
        <v>1.25</v>
      </c>
      <c r="AY222" s="9">
        <f t="shared" ca="1" si="172"/>
        <v>3.4285714285714279</v>
      </c>
      <c r="AZ222" s="9">
        <f t="shared" ca="1" si="196"/>
        <v>4.6785714285714279</v>
      </c>
      <c r="BA222" s="9">
        <f t="shared" ca="1" si="197"/>
        <v>0.2137404580152672</v>
      </c>
      <c r="BB222" s="9">
        <f t="shared" ca="1" si="173"/>
        <v>0.50687022900763368</v>
      </c>
      <c r="BC222" s="32" t="str">
        <f t="shared" si="174"/>
        <v>D</v>
      </c>
      <c r="BD222" s="20" t="str">
        <f ca="1">OFFSET(Tab.Uncertainty.Levels!$A$1,MATCH(BD$88,Tab.Uncertainty.Levels!$A:$A,0)-1,MATCH(BD$87&amp;"_"&amp;BC222,Tab.Uncertainty.Levels!$1:$1,0)-1)</f>
        <v>Use of default values; building constructed until 1983</v>
      </c>
      <c r="BE222" s="24">
        <f ca="1">OFFSET(Tab.Uncertainty.Levels!$A$1,MATCH(BE$88,Tab.Uncertainty.Levels!$A:$A,0)-1,MATCH(BE$87&amp;"_"&amp;BC222,Tab.Uncertainty.Levels!$1:$1,0)-1)</f>
        <v>0.3</v>
      </c>
      <c r="BF222" s="32" t="str">
        <f t="shared" si="175"/>
        <v>-</v>
      </c>
      <c r="BG222" s="20" t="e">
        <f ca="1">OFFSET(Tab.Uncertainty.Levels!$A$1,MATCH(BG$88,Tab.Uncertainty.Levels!$A:$A,0)-1,MATCH(BG$87&amp;"_"&amp;BF222,Tab.Uncertainty.Levels!$1:$1,0)-1)</f>
        <v>#N/A</v>
      </c>
      <c r="BH222" s="24" t="e">
        <f ca="1">OFFSET(Tab.Uncertainty.Levels!$A$1,MATCH(BH$88,Tab.Uncertainty.Levels!$A:$A,0)-1,MATCH(BH$87&amp;"_"&amp;BF222,Tab.Uncertainty.Levels!$1:$1,0)-1)</f>
        <v>#N/A</v>
      </c>
      <c r="BI222" s="32" t="str">
        <f t="shared" si="137"/>
        <v>D</v>
      </c>
      <c r="BJ222" s="13">
        <f ca="1">IF(BF222="-",BE222,BH222)</f>
        <v>0.3</v>
      </c>
      <c r="BK222" s="32" t="str">
        <f>IF(OR($L222="NoDataSource",IFERROR(IF($S222="",#N/A,$S222),0)=0),IF(IFERROR(IF(U222="",#N/A,U222),0)=0,"E","D"),IF($L222="DesignDataPlusQA","A",IF($L222="DesignData","B","C")))</f>
        <v>C</v>
      </c>
      <c r="BL222" s="20" t="str">
        <f ca="1">OFFSET(Tab.Uncertainty.Levels!$A$1,MATCH(BL$88,Tab.Uncertainty.Levels!$A:$A,0)-1,MATCH(BL$87&amp;"_"&amp;BK222,Tab.Uncertainty.Levels!$1:$1,0)-1)</f>
        <v>Insulation thickness determined by inspection onsite / record or statement of owner</v>
      </c>
      <c r="BM222" s="24">
        <f ca="1">OFFSET(Tab.Uncertainty.Levels!$A$1,MATCH(BM$88,Tab.Uncertainty.Levels!$A:$A,0)-1,MATCH(BM$87&amp;"_"&amp;BK222,Tab.Uncertainty.Levels!$1:$1,0)-1)</f>
        <v>0.25</v>
      </c>
      <c r="BN222" s="34">
        <f ca="1">OFFSET(Tab.Uncertainty.Levels!$A$1,MATCH(BN$88,Tab.Uncertainty.Levels!$A:$A,0)-1,MATCH(BN$87&amp;"_"&amp;BK222,Tab.Uncertainty.Levels!$1:$1,0)-1)</f>
        <v>2</v>
      </c>
      <c r="BO222" s="13">
        <f ca="1">IFERROR(MIN(BM222,BN222/AN222),0)</f>
        <v>0.16666666666666666</v>
      </c>
      <c r="BP222" s="32" t="str">
        <f>IF(OR($L222="NoDataSource",IFERROR(IF($V222="",#N/A,$V222),0)=0),IF(IFERROR(IF(U222="",#N/A,U222),0)=0,"E","D"),IF($L222="DesignDataPlusQA","A",IF($L222="DesignData","B","C")))</f>
        <v>D</v>
      </c>
      <c r="BQ222" s="20" t="str">
        <f ca="1">OFFSET(Tab.Uncertainty.Levels!$A$1,MATCH(BQ$88,Tab.Uncertainty.Levels!$A:$A,0)-1,MATCH(BQ$87&amp;"_"&amp;BP222,Tab.Uncertainty.Levels!$1:$1,0)-1)</f>
        <v>Insulation available; no information about material</v>
      </c>
      <c r="BR222" s="97">
        <f ca="1">OFFSET(Tab.Uncertainty.Levels!$A$1,MATCH(BR$88,Tab.Uncertainty.Levels!$A:$A,0)-1,MATCH(BR$87&amp;"_"&amp;BP222,Tab.Uncertainty.Levels!$1:$1,0)-1)</f>
        <v>0.2</v>
      </c>
      <c r="BS222" s="32" t="str">
        <f>IF(L222="NoDataSource","D",IF(IFERROR(IF($T222="",#N/A,$T222),0)=0,IF(OR(IFERROR(IF($S222="",#N/A,$S222),0)&gt;0,$R222="Refurbish"),"D","E"),IF($L222="DesignDataPlusQA","A",IF($L222="DesignData","B","C"))))</f>
        <v>C</v>
      </c>
      <c r="BT222" s="20" t="str">
        <f ca="1">OFFSET(Tab.Uncertainty.Levels!$A$1,MATCH(BT$88,Tab.Uncertainty.Levels!$A:$A,0)-1,MATCH(BT$87&amp;"_"&amp;BS222,Tab.Uncertainty.Levels!$1:$1,0)-1)</f>
        <v>Insulation fraction determined by inspection onsite / record or statement of owner</v>
      </c>
      <c r="BU222" s="33">
        <f ca="1">OFFSET(Tab.Uncertainty.Levels!$A$1,MATCH(BU$88,Tab.Uncertainty.Levels!$A:$A,0)-1,MATCH(BU$87&amp;"_"&amp;BS222,Tab.Uncertainty.Levels!$1:$1,0)-1)</f>
        <v>0.2</v>
      </c>
      <c r="BV222" s="13">
        <f ca="1">IFERROR(MIN(BU222/AW222,1,(1-AW222)/AW222),0)</f>
        <v>0.4</v>
      </c>
      <c r="BW222" s="96">
        <f ca="1">ABS(1+(AW222*(1/(1+AN222/100/AP222*AG222)^2-1)))*BJ222*$AG222</f>
        <v>0.12856593438610803</v>
      </c>
      <c r="BX222" s="96">
        <f ca="1">ABS(-AG222+1/(1/AG222+AN222/100/AP222))*BV222*AW222</f>
        <v>0.11725190839694657</v>
      </c>
      <c r="BY222" s="96">
        <f ca="1">ABS(-AW222*AP222/((AP222/AG222+AN222/100)^2))*(BO222*AN222/100)</f>
        <v>1.3052852397878912E-2</v>
      </c>
      <c r="BZ222" s="202">
        <f ca="1">ABS(AW222*AN222/100/(1/AG222*AP222+AN222/100)^2)*(BR222*AP222)</f>
        <v>1.5663422877454692E-2</v>
      </c>
      <c r="CA222" s="103">
        <f t="shared" ca="1" si="198"/>
        <v>0.17519397615003141</v>
      </c>
      <c r="CB222" s="37">
        <f t="shared" ca="1" si="176"/>
        <v>0.25364664765933959</v>
      </c>
      <c r="CC222" s="37">
        <f t="shared" ca="1" si="177"/>
        <v>0.23132530120481926</v>
      </c>
      <c r="CD222" s="37">
        <f t="shared" ca="1" si="178"/>
        <v>2.575186241147797E-2</v>
      </c>
      <c r="CE222" s="37">
        <f t="shared" ca="1" si="179"/>
        <v>3.0902234893773559E-2</v>
      </c>
      <c r="CF222" s="13">
        <f t="shared" ca="1" si="180"/>
        <v>0.34563871800683899</v>
      </c>
      <c r="CG222" s="101">
        <f ca="1">AG222</f>
        <v>0.8</v>
      </c>
      <c r="CH222" s="101">
        <f>AW222</f>
        <v>0.5</v>
      </c>
      <c r="CI222" s="203">
        <f>IF(CH222&gt;0,AN222,0)</f>
        <v>12</v>
      </c>
      <c r="CJ222" s="102">
        <f ca="1">IF(AND(CH222&gt;0,CI222&gt;0),AP222,0)</f>
        <v>3.5000000000000003E-2</v>
      </c>
      <c r="CK222" s="102">
        <f ca="1">BB222</f>
        <v>0.50687022900763368</v>
      </c>
      <c r="CL222" s="37">
        <f t="shared" ca="1" si="199"/>
        <v>0.3</v>
      </c>
      <c r="CM222" s="37">
        <f t="shared" ca="1" si="200"/>
        <v>0.4</v>
      </c>
      <c r="CN222" s="37">
        <f t="shared" ca="1" si="201"/>
        <v>0.16666666666666666</v>
      </c>
      <c r="CO222" s="37">
        <f t="shared" ca="1" si="202"/>
        <v>0.2</v>
      </c>
      <c r="CP222" s="37">
        <f t="shared" ca="1" si="203"/>
        <v>0.34563871800683899</v>
      </c>
      <c r="CQ222" s="95">
        <f t="shared" ca="1" si="204"/>
        <v>0.24</v>
      </c>
      <c r="CR222" s="95">
        <f t="shared" ca="1" si="205"/>
        <v>0.2</v>
      </c>
      <c r="CS222" s="95">
        <f t="shared" ca="1" si="206"/>
        <v>2</v>
      </c>
      <c r="CT222" s="103">
        <f t="shared" ca="1" si="207"/>
        <v>7.000000000000001E-3</v>
      </c>
      <c r="CU222" s="95">
        <f t="shared" ca="1" si="208"/>
        <v>0.17519397615003141</v>
      </c>
      <c r="CV222" s="37">
        <f ca="1">$CB222^2/$CF222^2</f>
        <v>0.53853444010453055</v>
      </c>
      <c r="CW222" s="37">
        <f ca="1">$CD222^2/$CF222^2</f>
        <v>5.5510164628031688E-3</v>
      </c>
      <c r="CX222" s="37">
        <f ca="1">$CE222^2/$CF222^2</f>
        <v>7.9934637064365613E-3</v>
      </c>
      <c r="CY222" s="37">
        <f ca="1">$CC222^2/$CF222^2</f>
        <v>0.4479210797262298</v>
      </c>
      <c r="DA222" s="98" t="s">
        <v>214</v>
      </c>
      <c r="DB222" s="36">
        <f ca="1">OFFSET($A$1,ROW(DB222)-1,MATCH(DA222,$1:$1,0)-1)</f>
        <v>12</v>
      </c>
      <c r="DC222" s="9">
        <f ca="1">BB222</f>
        <v>0.50687022900763368</v>
      </c>
      <c r="DD222" s="9">
        <f ca="1">$DC222+$CA222</f>
        <v>0.68206420515766508</v>
      </c>
      <c r="DE222" s="9">
        <f ca="1">$DC222-$CA222</f>
        <v>0.33167625285760227</v>
      </c>
      <c r="DF222" s="10">
        <f t="shared" ca="1" si="181"/>
        <v>0.34563871800683899</v>
      </c>
    </row>
    <row r="223" spans="1:110" s="8" customFormat="1" ht="32.4" customHeight="1">
      <c r="A223" s="206" t="s">
        <v>659</v>
      </c>
      <c r="B223" s="208" t="s">
        <v>2346</v>
      </c>
      <c r="C223" s="206" t="str">
        <f t="shared" si="186"/>
        <v>Parameter-Variation: d_Insulation = NA</v>
      </c>
      <c r="D223" s="206"/>
      <c r="E223" s="206" t="s">
        <v>198</v>
      </c>
      <c r="F223" s="206" t="str">
        <f>IFERROR(S223&amp;" cm","NA")</f>
        <v>NA</v>
      </c>
      <c r="G223" s="206" t="s">
        <v>2170</v>
      </c>
      <c r="H223" s="206" t="s">
        <v>2171</v>
      </c>
      <c r="I223" s="156" t="s">
        <v>80</v>
      </c>
      <c r="J223" s="156" t="s">
        <v>134</v>
      </c>
      <c r="K223" s="156" t="s">
        <v>155</v>
      </c>
      <c r="L223" s="156" t="s">
        <v>66</v>
      </c>
      <c r="M223" s="156" t="s">
        <v>188</v>
      </c>
      <c r="N223" s="7">
        <v>1960</v>
      </c>
      <c r="O223" s="156">
        <v>1</v>
      </c>
      <c r="P223" s="156">
        <v>0</v>
      </c>
      <c r="Q223" s="156" t="s">
        <v>435</v>
      </c>
      <c r="R223" s="156" t="s">
        <v>58</v>
      </c>
      <c r="S223" s="19" t="e">
        <v>#N/A</v>
      </c>
      <c r="T223" s="19">
        <v>0.5</v>
      </c>
      <c r="U223" s="19">
        <v>2016</v>
      </c>
      <c r="V223" s="19" t="e">
        <v>#N/A</v>
      </c>
      <c r="W223" s="28" t="s">
        <v>59</v>
      </c>
      <c r="X223" s="19" t="e">
        <v>#N/A</v>
      </c>
      <c r="Y223" s="105">
        <f ca="1">IFERROR(OFFSET(Tab.Const.ConstrBorder!$A$1,MATCH(Q223,Tab.Const.ConstrBorder!$A:$A,0)-1,MATCH(Y$87,Tab.Const.ConstrBorder!$1:$1,0)-1),0)</f>
        <v>0</v>
      </c>
      <c r="Z223" s="18">
        <f t="shared" si="188"/>
        <v>1960</v>
      </c>
      <c r="AA223" s="17">
        <f>MATCH(Z223,Tab.Year.Period!$11:$11,1)-3</f>
        <v>5</v>
      </c>
      <c r="AB223" s="17">
        <f>MATCH(AB$88&amp;"."&amp;TEXT(AA223,"00"),Tab.U.Default!$A:$A,0)</f>
        <v>28</v>
      </c>
      <c r="AC223" s="105">
        <f ca="1">OFFSET(Tab.U.Default!$A$1,$AB223-1,MATCH("U_Class_"&amp;IF($J223="TopCeiling","UpperCeiling",$J223)&amp;"_"&amp;AC$87,Tab.U.Default!$1:$1,0)-1)</f>
        <v>1.2</v>
      </c>
      <c r="AD223" s="105">
        <f ca="1">OFFSET(Tab.U.Default!$A$1,$AB223-1,MATCH("U_Class_"&amp;IF($J223="TopCeiling","UpperCeiling",$J223)&amp;"_"&amp;AD$87,Tab.U.Default!$1:$1,0)-1)</f>
        <v>1.2</v>
      </c>
      <c r="AE223" s="105">
        <f ca="1">OFFSET(Tab.U.Default!$A$1,$AB223-1,MATCH("U_Class_"&amp;IF($J223="TopCeiling","UpperCeiling",$J223)&amp;"_"&amp;AE$87,Tab.U.Default!$1:$1,0)-1)</f>
        <v>0.8</v>
      </c>
      <c r="AF223" s="26">
        <f t="shared" ca="1" si="189"/>
        <v>1.2</v>
      </c>
      <c r="AG223" s="26">
        <f t="shared" ca="1" si="190"/>
        <v>1.2</v>
      </c>
      <c r="AH223" s="18" t="str">
        <f t="shared" si="168"/>
        <v>Refurbish</v>
      </c>
      <c r="AI223" s="18" t="str">
        <f t="shared" si="191"/>
        <v>Add</v>
      </c>
      <c r="AJ223" s="18">
        <f t="shared" si="192"/>
        <v>2016</v>
      </c>
      <c r="AK223" s="17">
        <f>MATCH(AJ223,Tab.Year.Period!$11:$11,1)-3</f>
        <v>12</v>
      </c>
      <c r="AL223" s="17">
        <f>MATCH(AL$88&amp;"."&amp;TEXT(AK223,"00"),Tab.Insulation.Default!$A:$A,0)</f>
        <v>23</v>
      </c>
      <c r="AM223" s="20">
        <f ca="1">IF(ISNA(IF(S223="",#N/A,S223)),OFFSET(Tab.Insulation.Default!$A$1,$AL223-1,MATCH(AM$87&amp;"_"&amp;$K223,Tab.Insulation.Default!$1:$1,0)-1),#N/A)</f>
        <v>12</v>
      </c>
      <c r="AN223" s="27">
        <f t="shared" ca="1" si="193"/>
        <v>12</v>
      </c>
      <c r="AO223" s="22">
        <f ca="1">IF(ISNA(IF(V223="",#N/A,V223)),OFFSET(Tab.Insulation.Default!$A$1,$AL223-1,MATCH(AO$87&amp;"_"&amp;$K223,Tab.Insulation.Default!$1:$1,0)-1),#N/A)</f>
        <v>3.5000000000000003E-2</v>
      </c>
      <c r="AP223" s="23">
        <f t="shared" ca="1" si="194"/>
        <v>3.5000000000000003E-2</v>
      </c>
      <c r="AQ223" s="29" t="str">
        <f t="shared" si="169"/>
        <v>Gen.Refurbished.12</v>
      </c>
      <c r="AR223" s="17">
        <f>MATCH(AR$88&amp;"."&amp;AQ223,Tab.Measure.f.Default!$A:$A,0)</f>
        <v>23</v>
      </c>
      <c r="AS223" s="21">
        <f ca="1">OFFSET(Tab.Measure.f.Default!$A$1,AR223-1,MATCH(AS$87&amp;"_"&amp;$J223,Tab.Measure.f.Default!$1:$1,0)-1)</f>
        <v>0.75</v>
      </c>
      <c r="AT223" s="29" t="str">
        <f t="shared" si="170"/>
        <v>MUH.NA.05</v>
      </c>
      <c r="AU223" s="17">
        <f>MATCH(AU$88&amp;"."&amp;AT223,Tab.Measure.f.Default!$A:$A,0)</f>
        <v>40</v>
      </c>
      <c r="AV223" s="21">
        <f ca="1">OFFSET(Tab.Measure.f.Default!$A$1,AU223-1,MATCH(AV$87&amp;"_"&amp;$J223,Tab.Measure.f.Default!$1:$1,0)-1)</f>
        <v>0.37</v>
      </c>
      <c r="AW223" s="30">
        <f t="shared" si="195"/>
        <v>0.5</v>
      </c>
      <c r="AX223" s="9">
        <f t="shared" ca="1" si="171"/>
        <v>0.83333333333333337</v>
      </c>
      <c r="AY223" s="9">
        <f t="shared" ca="1" si="172"/>
        <v>3.4285714285714279</v>
      </c>
      <c r="AZ223" s="9">
        <f t="shared" ca="1" si="196"/>
        <v>4.261904761904761</v>
      </c>
      <c r="BA223" s="9">
        <f t="shared" ca="1" si="197"/>
        <v>0.23463687150837995</v>
      </c>
      <c r="BB223" s="9">
        <f t="shared" ca="1" si="173"/>
        <v>0.71731843575418996</v>
      </c>
      <c r="BC223" s="32" t="str">
        <f t="shared" si="174"/>
        <v>D</v>
      </c>
      <c r="BD223" s="20" t="str">
        <f ca="1">OFFSET(Tab.Uncertainty.Levels!$A$1,MATCH(BD$88,Tab.Uncertainty.Levels!$A:$A,0)-1,MATCH(BD$87&amp;"_"&amp;BC223,Tab.Uncertainty.Levels!$1:$1,0)-1)</f>
        <v>Use of default values; building constructed until 1983</v>
      </c>
      <c r="BE223" s="24">
        <f ca="1">OFFSET(Tab.Uncertainty.Levels!$A$1,MATCH(BE$88,Tab.Uncertainty.Levels!$A:$A,0)-1,MATCH(BE$87&amp;"_"&amp;BC223,Tab.Uncertainty.Levels!$1:$1,0)-1)</f>
        <v>0.3</v>
      </c>
      <c r="BF223" s="32" t="str">
        <f t="shared" si="175"/>
        <v>-</v>
      </c>
      <c r="BG223" s="20" t="e">
        <f ca="1">OFFSET(Tab.Uncertainty.Levels!$A$1,MATCH(BG$88,Tab.Uncertainty.Levels!$A:$A,0)-1,MATCH(BG$87&amp;"_"&amp;BF223,Tab.Uncertainty.Levels!$1:$1,0)-1)</f>
        <v>#N/A</v>
      </c>
      <c r="BH223" s="24" t="e">
        <f ca="1">OFFSET(Tab.Uncertainty.Levels!$A$1,MATCH(BH$88,Tab.Uncertainty.Levels!$A:$A,0)-1,MATCH(BH$87&amp;"_"&amp;BF223,Tab.Uncertainty.Levels!$1:$1,0)-1)</f>
        <v>#N/A</v>
      </c>
      <c r="BI223" s="32" t="str">
        <f t="shared" si="137"/>
        <v>D</v>
      </c>
      <c r="BJ223" s="13">
        <f ca="1">IF(BF223="-",BE223,BH223)</f>
        <v>0.3</v>
      </c>
      <c r="BK223" s="32" t="str">
        <f>IF(OR($L223="NoDataSource",IFERROR(IF($S223="",#N/A,$S223),0)=0),IF(IFERROR(IF(U223="",#N/A,U223),0)=0,"E","D"),IF($L223="DesignDataPlusQA","A",IF($L223="DesignData","B","C")))</f>
        <v>D</v>
      </c>
      <c r="BL223" s="20" t="str">
        <f ca="1">OFFSET(Tab.Uncertainty.Levels!$A$1,MATCH(BL$88,Tab.Uncertainty.Levels!$A:$A,0)-1,MATCH(BL$87&amp;"_"&amp;BK223,Tab.Uncertainty.Levels!$1:$1,0)-1)</f>
        <v>Insulation available; insulation thickness unknown</v>
      </c>
      <c r="BM223" s="24">
        <f ca="1">OFFSET(Tab.Uncertainty.Levels!$A$1,MATCH(BM$88,Tab.Uncertainty.Levels!$A:$A,0)-1,MATCH(BM$87&amp;"_"&amp;BK223,Tab.Uncertainty.Levels!$1:$1,0)-1)</f>
        <v>0.4</v>
      </c>
      <c r="BN223" s="34">
        <f ca="1">OFFSET(Tab.Uncertainty.Levels!$A$1,MATCH(BN$88,Tab.Uncertainty.Levels!$A:$A,0)-1,MATCH(BN$87&amp;"_"&amp;BK223,Tab.Uncertainty.Levels!$1:$1,0)-1)</f>
        <v>5</v>
      </c>
      <c r="BO223" s="13">
        <f ca="1">IFERROR(MIN(BM223,BN223/AN223),0)</f>
        <v>0.4</v>
      </c>
      <c r="BP223" s="32" t="str">
        <f>IF(OR($L223="NoDataSource",IFERROR(IF($V223="",#N/A,$V223),0)=0),IF(IFERROR(IF(U223="",#N/A,U223),0)=0,"E","D"),IF($L223="DesignDataPlusQA","A",IF($L223="DesignData","B","C")))</f>
        <v>D</v>
      </c>
      <c r="BQ223" s="20" t="str">
        <f ca="1">OFFSET(Tab.Uncertainty.Levels!$A$1,MATCH(BQ$88,Tab.Uncertainty.Levels!$A:$A,0)-1,MATCH(BQ$87&amp;"_"&amp;BP223,Tab.Uncertainty.Levels!$1:$1,0)-1)</f>
        <v>Insulation available; no information about material</v>
      </c>
      <c r="BR223" s="97">
        <f ca="1">OFFSET(Tab.Uncertainty.Levels!$A$1,MATCH(BR$88,Tab.Uncertainty.Levels!$A:$A,0)-1,MATCH(BR$87&amp;"_"&amp;BP223,Tab.Uncertainty.Levels!$1:$1,0)-1)</f>
        <v>0.2</v>
      </c>
      <c r="BS223" s="32" t="str">
        <f>IF(L223="NoDataSource","D",IF(IFERROR(IF($T223="",#N/A,$T223),0)=0,IF(OR(IFERROR(IF($S223="",#N/A,$S223),0)&gt;0,$R223="Refurbish"),"D","E"),IF($L223="DesignDataPlusQA","A",IF($L223="DesignData","B","C"))))</f>
        <v>C</v>
      </c>
      <c r="BT223" s="20" t="str">
        <f ca="1">OFFSET(Tab.Uncertainty.Levels!$A$1,MATCH(BT$88,Tab.Uncertainty.Levels!$A:$A,0)-1,MATCH(BT$87&amp;"_"&amp;BS223,Tab.Uncertainty.Levels!$1:$1,0)-1)</f>
        <v>Insulation fraction determined by inspection onsite / record or statement of owner</v>
      </c>
      <c r="BU223" s="33">
        <f ca="1">OFFSET(Tab.Uncertainty.Levels!$A$1,MATCH(BU$88,Tab.Uncertainty.Levels!$A:$A,0)-1,MATCH(BU$87&amp;"_"&amp;BS223,Tab.Uncertainty.Levels!$1:$1,0)-1)</f>
        <v>0.2</v>
      </c>
      <c r="BV223" s="13">
        <f ca="1">IFERROR(MIN(BU223/AW223,1,(1-AW223)/AW223),0)</f>
        <v>0.4</v>
      </c>
      <c r="BW223" s="96">
        <f ca="1">ABS(1+(AW223*(1/(1+AN223/100/AP223*AG223)^2-1)))*BJ223*$AG223</f>
        <v>0.186881807683905</v>
      </c>
      <c r="BX223" s="96">
        <f ca="1">ABS(-AG223+1/(1/AG223+AN223/100/AP223))*BV223*AW223</f>
        <v>0.19307262569832401</v>
      </c>
      <c r="BY223" s="96">
        <f ca="1">ABS(-AW223*AP223/((AP223/AG223+AN223/100)^2))*(BO223*AN223/100)</f>
        <v>3.775163072313599E-2</v>
      </c>
      <c r="BZ223" s="202">
        <f ca="1">ABS(AW223*AN223/100/(1/AG223*AP223+AN223/100)^2)*(BR223*AP223)</f>
        <v>1.8875815361567995E-2</v>
      </c>
      <c r="CA223" s="103">
        <f t="shared" ca="1" si="198"/>
        <v>0.27199876996977246</v>
      </c>
      <c r="CB223" s="37">
        <f t="shared" ca="1" si="176"/>
        <v>0.26052837675559964</v>
      </c>
      <c r="CC223" s="37">
        <f t="shared" ca="1" si="177"/>
        <v>0.26915887850467285</v>
      </c>
      <c r="CD223" s="37">
        <f t="shared" ca="1" si="178"/>
        <v>5.2628830992533814E-2</v>
      </c>
      <c r="CE223" s="37">
        <f t="shared" ca="1" si="179"/>
        <v>2.6314415496266907E-2</v>
      </c>
      <c r="CF223" s="13">
        <f t="shared" ca="1" si="180"/>
        <v>0.37918831639088219</v>
      </c>
      <c r="CG223" s="101">
        <f ca="1">AG223</f>
        <v>1.2</v>
      </c>
      <c r="CH223" s="101">
        <f>AW223</f>
        <v>0.5</v>
      </c>
      <c r="CI223" s="203">
        <f ca="1">IF(CH223&gt;0,AN223,0)</f>
        <v>12</v>
      </c>
      <c r="CJ223" s="102">
        <f ca="1">IF(AND(CH223&gt;0,CI223&gt;0),AP223,0)</f>
        <v>3.5000000000000003E-2</v>
      </c>
      <c r="CK223" s="102">
        <f ca="1">BB223</f>
        <v>0.71731843575418996</v>
      </c>
      <c r="CL223" s="37">
        <f t="shared" ca="1" si="199"/>
        <v>0.3</v>
      </c>
      <c r="CM223" s="37">
        <f t="shared" ca="1" si="200"/>
        <v>0.4</v>
      </c>
      <c r="CN223" s="37">
        <f t="shared" ca="1" si="201"/>
        <v>0.4</v>
      </c>
      <c r="CO223" s="37">
        <f t="shared" ca="1" si="202"/>
        <v>0.2</v>
      </c>
      <c r="CP223" s="37">
        <f t="shared" ca="1" si="203"/>
        <v>0.37918831639088219</v>
      </c>
      <c r="CQ223" s="95">
        <f t="shared" ca="1" si="204"/>
        <v>0.36</v>
      </c>
      <c r="CR223" s="95">
        <f t="shared" ca="1" si="205"/>
        <v>0.2</v>
      </c>
      <c r="CS223" s="95">
        <f t="shared" ca="1" si="206"/>
        <v>4.8000000000000007</v>
      </c>
      <c r="CT223" s="103">
        <f t="shared" ca="1" si="207"/>
        <v>7.000000000000001E-3</v>
      </c>
      <c r="CU223" s="95">
        <f t="shared" ca="1" si="208"/>
        <v>0.27199876996977246</v>
      </c>
      <c r="CV223" s="37">
        <f ca="1">$CB223^2/$CF223^2</f>
        <v>0.47206322876838192</v>
      </c>
      <c r="CW223" s="37">
        <f ca="1">$CD223^2/$CF223^2</f>
        <v>1.9263604457810616E-2</v>
      </c>
      <c r="CX223" s="37">
        <f ca="1">$CE223^2/$CF223^2</f>
        <v>4.815901114452654E-3</v>
      </c>
      <c r="CY223" s="37">
        <f ca="1">$CC223^2/$CF223^2</f>
        <v>0.50385726565935474</v>
      </c>
      <c r="DA223" s="98" t="s">
        <v>214</v>
      </c>
      <c r="DB223" s="36">
        <f ca="1">OFFSET($A$1,ROW(DB223)-1,MATCH(DA223,$1:$1,0)-1)</f>
        <v>12</v>
      </c>
      <c r="DC223" s="9">
        <f ca="1">BB223</f>
        <v>0.71731843575418996</v>
      </c>
      <c r="DD223" s="9">
        <f ca="1">$DC223+$CA223</f>
        <v>0.98931720572396242</v>
      </c>
      <c r="DE223" s="9">
        <f ca="1">$DC223-$CA223</f>
        <v>0.44531966578441751</v>
      </c>
      <c r="DF223" s="10">
        <f t="shared" ca="1" si="181"/>
        <v>0.37918831639088213</v>
      </c>
    </row>
    <row r="224" spans="1:110" s="8" customFormat="1" ht="32.4" customHeight="1">
      <c r="A224" s="206" t="s">
        <v>660</v>
      </c>
      <c r="B224" s="208" t="s">
        <v>2346</v>
      </c>
      <c r="C224" s="206" t="str">
        <f t="shared" si="186"/>
        <v>Parameter-Variation: d_Insulation = 0 cm</v>
      </c>
      <c r="D224" s="206"/>
      <c r="E224" s="206" t="s">
        <v>198</v>
      </c>
      <c r="F224" s="206" t="str">
        <f t="shared" ref="F224:F234" si="209">IFERROR(S224&amp;" cm","NA")</f>
        <v>0 cm</v>
      </c>
      <c r="G224" s="206" t="s">
        <v>2170</v>
      </c>
      <c r="H224" s="206" t="s">
        <v>2171</v>
      </c>
      <c r="I224" s="156" t="s">
        <v>80</v>
      </c>
      <c r="J224" s="156" t="s">
        <v>134</v>
      </c>
      <c r="K224" s="156" t="s">
        <v>155</v>
      </c>
      <c r="L224" s="156" t="s">
        <v>66</v>
      </c>
      <c r="M224" s="156" t="s">
        <v>188</v>
      </c>
      <c r="N224" s="7">
        <v>1960</v>
      </c>
      <c r="O224" s="156">
        <v>1</v>
      </c>
      <c r="P224" s="156">
        <v>0</v>
      </c>
      <c r="Q224" s="156" t="s">
        <v>435</v>
      </c>
      <c r="R224" s="156" t="s">
        <v>58</v>
      </c>
      <c r="S224" s="19">
        <v>0</v>
      </c>
      <c r="T224" s="19">
        <v>0.5</v>
      </c>
      <c r="U224" s="19">
        <v>2016</v>
      </c>
      <c r="V224" s="19" t="e">
        <v>#N/A</v>
      </c>
      <c r="W224" s="28" t="s">
        <v>59</v>
      </c>
      <c r="X224" s="19" t="e">
        <v>#N/A</v>
      </c>
      <c r="Y224" s="105">
        <f ca="1">IFERROR(OFFSET(Tab.Const.ConstrBorder!$A$1,MATCH(Q224,Tab.Const.ConstrBorder!$A:$A,0)-1,MATCH(Y$87,Tab.Const.ConstrBorder!$1:$1,0)-1),0)</f>
        <v>0</v>
      </c>
      <c r="Z224" s="18">
        <f t="shared" si="188"/>
        <v>1960</v>
      </c>
      <c r="AA224" s="17">
        <f>MATCH(Z224,Tab.Year.Period!$11:$11,1)-3</f>
        <v>5</v>
      </c>
      <c r="AB224" s="17">
        <f>MATCH(AB$88&amp;"."&amp;TEXT(AA224,"00"),Tab.U.Default!$A:$A,0)</f>
        <v>28</v>
      </c>
      <c r="AC224" s="105">
        <f ca="1">OFFSET(Tab.U.Default!$A$1,$AB224-1,MATCH("U_Class_"&amp;IF($J224="TopCeiling","UpperCeiling",$J224)&amp;"_"&amp;AC$87,Tab.U.Default!$1:$1,0)-1)</f>
        <v>1.2</v>
      </c>
      <c r="AD224" s="105">
        <f ca="1">OFFSET(Tab.U.Default!$A$1,$AB224-1,MATCH("U_Class_"&amp;IF($J224="TopCeiling","UpperCeiling",$J224)&amp;"_"&amp;AD$87,Tab.U.Default!$1:$1,0)-1)</f>
        <v>1.2</v>
      </c>
      <c r="AE224" s="105">
        <f ca="1">OFFSET(Tab.U.Default!$A$1,$AB224-1,MATCH("U_Class_"&amp;IF($J224="TopCeiling","UpperCeiling",$J224)&amp;"_"&amp;AE$87,Tab.U.Default!$1:$1,0)-1)</f>
        <v>0.8</v>
      </c>
      <c r="AF224" s="26">
        <f t="shared" ca="1" si="189"/>
        <v>1.2</v>
      </c>
      <c r="AG224" s="26">
        <f t="shared" ca="1" si="190"/>
        <v>1.2</v>
      </c>
      <c r="AH224" s="18" t="str">
        <f t="shared" si="168"/>
        <v>Refurbish</v>
      </c>
      <c r="AI224" s="18" t="str">
        <f t="shared" si="191"/>
        <v>Add</v>
      </c>
      <c r="AJ224" s="18">
        <f t="shared" si="192"/>
        <v>2016</v>
      </c>
      <c r="AK224" s="17">
        <f>MATCH(AJ224,Tab.Year.Period!$11:$11,1)-3</f>
        <v>12</v>
      </c>
      <c r="AL224" s="17">
        <f>MATCH(AL$88&amp;"."&amp;TEXT(AK224,"00"),Tab.Insulation.Default!$A:$A,0)</f>
        <v>23</v>
      </c>
      <c r="AM224" s="20" t="e">
        <f ca="1">IF(ISNA(IF(S224="",#N/A,S224)),OFFSET(Tab.Insulation.Default!$A$1,$AL224-1,MATCH(AM$87&amp;"_"&amp;$K224,Tab.Insulation.Default!$1:$1,0)-1),#N/A)</f>
        <v>#N/A</v>
      </c>
      <c r="AN224" s="27">
        <f t="shared" si="193"/>
        <v>0</v>
      </c>
      <c r="AO224" s="22">
        <f ca="1">IF(ISNA(IF(V224="",#N/A,V224)),OFFSET(Tab.Insulation.Default!$A$1,$AL224-1,MATCH(AO$87&amp;"_"&amp;$K224,Tab.Insulation.Default!$1:$1,0)-1),#N/A)</f>
        <v>3.5000000000000003E-2</v>
      </c>
      <c r="AP224" s="23">
        <f t="shared" ca="1" si="194"/>
        <v>3.5000000000000003E-2</v>
      </c>
      <c r="AQ224" s="29" t="str">
        <f t="shared" si="169"/>
        <v>Gen.Refurbished.12</v>
      </c>
      <c r="AR224" s="17">
        <f>MATCH(AR$88&amp;"."&amp;AQ224,Tab.Measure.f.Default!$A:$A,0)</f>
        <v>23</v>
      </c>
      <c r="AS224" s="21">
        <f ca="1">OFFSET(Tab.Measure.f.Default!$A$1,AR224-1,MATCH(AS$87&amp;"_"&amp;$J224,Tab.Measure.f.Default!$1:$1,0)-1)</f>
        <v>0.75</v>
      </c>
      <c r="AT224" s="29" t="str">
        <f t="shared" si="170"/>
        <v>MUH.NA.05</v>
      </c>
      <c r="AU224" s="17">
        <f>MATCH(AU$88&amp;"."&amp;AT224,Tab.Measure.f.Default!$A:$A,0)</f>
        <v>40</v>
      </c>
      <c r="AV224" s="21">
        <f ca="1">OFFSET(Tab.Measure.f.Default!$A$1,AU224-1,MATCH(AV$87&amp;"_"&amp;$J224,Tab.Measure.f.Default!$1:$1,0)-1)</f>
        <v>0.37</v>
      </c>
      <c r="AW224" s="30">
        <f t="shared" si="195"/>
        <v>0.5</v>
      </c>
      <c r="AX224" s="9">
        <f t="shared" ca="1" si="171"/>
        <v>0.83333333333333337</v>
      </c>
      <c r="AY224" s="9">
        <f t="shared" ca="1" si="172"/>
        <v>0</v>
      </c>
      <c r="AZ224" s="9">
        <f t="shared" ca="1" si="196"/>
        <v>0.83333333333333337</v>
      </c>
      <c r="BA224" s="9">
        <f t="shared" ca="1" si="197"/>
        <v>1.2</v>
      </c>
      <c r="BB224" s="9">
        <f t="shared" ca="1" si="173"/>
        <v>1.2</v>
      </c>
      <c r="BC224" s="32" t="str">
        <f t="shared" si="174"/>
        <v>D</v>
      </c>
      <c r="BD224" s="20" t="str">
        <f ca="1">OFFSET(Tab.Uncertainty.Levels!$A$1,MATCH(BD$88,Tab.Uncertainty.Levels!$A:$A,0)-1,MATCH(BD$87&amp;"_"&amp;BC224,Tab.Uncertainty.Levels!$1:$1,0)-1)</f>
        <v>Use of default values; building constructed until 1983</v>
      </c>
      <c r="BE224" s="24">
        <f ca="1">OFFSET(Tab.Uncertainty.Levels!$A$1,MATCH(BE$88,Tab.Uncertainty.Levels!$A:$A,0)-1,MATCH(BE$87&amp;"_"&amp;BC224,Tab.Uncertainty.Levels!$1:$1,0)-1)</f>
        <v>0.3</v>
      </c>
      <c r="BF224" s="32" t="str">
        <f t="shared" si="175"/>
        <v>-</v>
      </c>
      <c r="BG224" s="20" t="e">
        <f ca="1">OFFSET(Tab.Uncertainty.Levels!$A$1,MATCH(BG$88,Tab.Uncertainty.Levels!$A:$A,0)-1,MATCH(BG$87&amp;"_"&amp;BF224,Tab.Uncertainty.Levels!$1:$1,0)-1)</f>
        <v>#N/A</v>
      </c>
      <c r="BH224" s="24" t="e">
        <f ca="1">OFFSET(Tab.Uncertainty.Levels!$A$1,MATCH(BH$88,Tab.Uncertainty.Levels!$A:$A,0)-1,MATCH(BH$87&amp;"_"&amp;BF224,Tab.Uncertainty.Levels!$1:$1,0)-1)</f>
        <v>#N/A</v>
      </c>
      <c r="BI224" s="32" t="str">
        <f t="shared" si="137"/>
        <v>D</v>
      </c>
      <c r="BJ224" s="13">
        <f ca="1">IF(BF224="-",BE224,BH224)</f>
        <v>0.3</v>
      </c>
      <c r="BK224" s="32" t="str">
        <f>IF(OR($L224="NoDataSource",IFERROR(IF($S224="",#N/A,$S224),0)=0),IF(IFERROR(IF(U224="",#N/A,U224),0)=0,"E","D"),IF($L224="DesignDataPlusQA","A",IF($L224="DesignData","B","C")))</f>
        <v>D</v>
      </c>
      <c r="BL224" s="20" t="str">
        <f ca="1">OFFSET(Tab.Uncertainty.Levels!$A$1,MATCH(BL$88,Tab.Uncertainty.Levels!$A:$A,0)-1,MATCH(BL$87&amp;"_"&amp;BK224,Tab.Uncertainty.Levels!$1:$1,0)-1)</f>
        <v>Insulation available; insulation thickness unknown</v>
      </c>
      <c r="BM224" s="24">
        <f ca="1">OFFSET(Tab.Uncertainty.Levels!$A$1,MATCH(BM$88,Tab.Uncertainty.Levels!$A:$A,0)-1,MATCH(BM$87&amp;"_"&amp;BK224,Tab.Uncertainty.Levels!$1:$1,0)-1)</f>
        <v>0.4</v>
      </c>
      <c r="BN224" s="34">
        <f ca="1">OFFSET(Tab.Uncertainty.Levels!$A$1,MATCH(BN$88,Tab.Uncertainty.Levels!$A:$A,0)-1,MATCH(BN$87&amp;"_"&amp;BK224,Tab.Uncertainty.Levels!$1:$1,0)-1)</f>
        <v>5</v>
      </c>
      <c r="BO224" s="13">
        <f ca="1">IFERROR(MIN(BM224,BN224/AN224),0)</f>
        <v>0</v>
      </c>
      <c r="BP224" s="32" t="str">
        <f>IF(OR($L224="NoDataSource",IFERROR(IF($V224="",#N/A,$V224),0)=0),IF(IFERROR(IF(U224="",#N/A,U224),0)=0,"E","D"),IF($L224="DesignDataPlusQA","A",IF($L224="DesignData","B","C")))</f>
        <v>D</v>
      </c>
      <c r="BQ224" s="20" t="str">
        <f ca="1">OFFSET(Tab.Uncertainty.Levels!$A$1,MATCH(BQ$88,Tab.Uncertainty.Levels!$A:$A,0)-1,MATCH(BQ$87&amp;"_"&amp;BP224,Tab.Uncertainty.Levels!$1:$1,0)-1)</f>
        <v>Insulation available; no information about material</v>
      </c>
      <c r="BR224" s="97">
        <f ca="1">OFFSET(Tab.Uncertainty.Levels!$A$1,MATCH(BR$88,Tab.Uncertainty.Levels!$A:$A,0)-1,MATCH(BR$87&amp;"_"&amp;BP224,Tab.Uncertainty.Levels!$1:$1,0)-1)</f>
        <v>0.2</v>
      </c>
      <c r="BS224" s="32" t="str">
        <f>IF(L224="NoDataSource","D",IF(IFERROR(IF($T224="",#N/A,$T224),0)=0,IF(OR(IFERROR(IF($S224="",#N/A,$S224),0)&gt;0,$R224="Refurbish"),"D","E"),IF($L224="DesignDataPlusQA","A",IF($L224="DesignData","B","C"))))</f>
        <v>C</v>
      </c>
      <c r="BT224" s="20" t="str">
        <f ca="1">OFFSET(Tab.Uncertainty.Levels!$A$1,MATCH(BT$88,Tab.Uncertainty.Levels!$A:$A,0)-1,MATCH(BT$87&amp;"_"&amp;BS224,Tab.Uncertainty.Levels!$1:$1,0)-1)</f>
        <v>Insulation fraction determined by inspection onsite / record or statement of owner</v>
      </c>
      <c r="BU224" s="33">
        <f ca="1">OFFSET(Tab.Uncertainty.Levels!$A$1,MATCH(BU$88,Tab.Uncertainty.Levels!$A:$A,0)-1,MATCH(BU$87&amp;"_"&amp;BS224,Tab.Uncertainty.Levels!$1:$1,0)-1)</f>
        <v>0.2</v>
      </c>
      <c r="BV224" s="13">
        <f ca="1">IFERROR(MIN(BU224/AW224,1,(1-AW224)/AW224),0)</f>
        <v>0.4</v>
      </c>
      <c r="BW224" s="96">
        <f ca="1">ABS(1+(AW224*(1/(1+AN224/100/AP224*AG224)^2-1)))*BJ224*$AG224</f>
        <v>0.36</v>
      </c>
      <c r="BX224" s="96">
        <f ca="1">ABS(-AG224+1/(1/AG224+AN224/100/AP224))*BV224*AW224</f>
        <v>0</v>
      </c>
      <c r="BY224" s="96">
        <f ca="1">ABS(-AW224*AP224/((AP224/AG224+AN224/100)^2))*(BO224*AN224/100)</f>
        <v>0</v>
      </c>
      <c r="BZ224" s="202">
        <f ca="1">ABS(AW224*AN224/100/(1/AG224*AP224+AN224/100)^2)*(BR224*AP224)</f>
        <v>0</v>
      </c>
      <c r="CA224" s="103">
        <f t="shared" ca="1" si="198"/>
        <v>0.36</v>
      </c>
      <c r="CB224" s="37">
        <f t="shared" ca="1" si="176"/>
        <v>0.3</v>
      </c>
      <c r="CC224" s="37">
        <f t="shared" ca="1" si="177"/>
        <v>0</v>
      </c>
      <c r="CD224" s="37">
        <f t="shared" ca="1" si="178"/>
        <v>0</v>
      </c>
      <c r="CE224" s="37">
        <f t="shared" ca="1" si="179"/>
        <v>0</v>
      </c>
      <c r="CF224" s="13">
        <f t="shared" ca="1" si="180"/>
        <v>0.3</v>
      </c>
      <c r="CG224" s="101">
        <f ca="1">AG224</f>
        <v>1.2</v>
      </c>
      <c r="CH224" s="101">
        <f>AW224</f>
        <v>0.5</v>
      </c>
      <c r="CI224" s="203">
        <f>IF(CH224&gt;0,AN224,0)</f>
        <v>0</v>
      </c>
      <c r="CJ224" s="102">
        <f>IF(AND(CH224&gt;0,CI224&gt;0),AP224,0)</f>
        <v>0</v>
      </c>
      <c r="CK224" s="102">
        <f ca="1">BB224</f>
        <v>1.2</v>
      </c>
      <c r="CL224" s="37">
        <f t="shared" ca="1" si="199"/>
        <v>0.3</v>
      </c>
      <c r="CM224" s="37">
        <f t="shared" ca="1" si="200"/>
        <v>0.4</v>
      </c>
      <c r="CN224" s="37">
        <f t="shared" ca="1" si="201"/>
        <v>0</v>
      </c>
      <c r="CO224" s="37">
        <f t="shared" ca="1" si="202"/>
        <v>0.2</v>
      </c>
      <c r="CP224" s="37">
        <f t="shared" ca="1" si="203"/>
        <v>0.3</v>
      </c>
      <c r="CQ224" s="95">
        <f t="shared" ca="1" si="204"/>
        <v>0.36</v>
      </c>
      <c r="CR224" s="95">
        <f t="shared" ca="1" si="205"/>
        <v>0.2</v>
      </c>
      <c r="CS224" s="95">
        <f t="shared" ca="1" si="206"/>
        <v>0</v>
      </c>
      <c r="CT224" s="103">
        <f t="shared" ca="1" si="207"/>
        <v>0</v>
      </c>
      <c r="CU224" s="95">
        <f t="shared" ca="1" si="208"/>
        <v>0.36</v>
      </c>
      <c r="CV224" s="37">
        <f ca="1">$CB224^2/$CF224^2</f>
        <v>1</v>
      </c>
      <c r="CW224" s="37">
        <f ca="1">$CD224^2/$CF224^2</f>
        <v>0</v>
      </c>
      <c r="CX224" s="37">
        <f ca="1">$CE224^2/$CF224^2</f>
        <v>0</v>
      </c>
      <c r="CY224" s="37">
        <f ca="1">$CC224^2/$CF224^2</f>
        <v>0</v>
      </c>
      <c r="DA224" s="98" t="s">
        <v>214</v>
      </c>
      <c r="DB224" s="36">
        <f ca="1">OFFSET($A$1,ROW(DB224)-1,MATCH(DA224,$1:$1,0)-1)</f>
        <v>0</v>
      </c>
      <c r="DC224" s="9">
        <f ca="1">BB224</f>
        <v>1.2</v>
      </c>
      <c r="DD224" s="9">
        <f ca="1">$DC224+$CA224</f>
        <v>1.56</v>
      </c>
      <c r="DE224" s="9">
        <f ca="1">$DC224-$CA224</f>
        <v>0.84</v>
      </c>
      <c r="DF224" s="10">
        <f t="shared" ca="1" si="181"/>
        <v>0.30000000000000004</v>
      </c>
    </row>
    <row r="225" spans="1:110" s="8" customFormat="1" ht="32.4" customHeight="1">
      <c r="A225" s="206" t="s">
        <v>661</v>
      </c>
      <c r="B225" s="208" t="s">
        <v>2346</v>
      </c>
      <c r="C225" s="206" t="str">
        <f t="shared" si="186"/>
        <v>Parameter-Variation: d_Insulation = 4 cm</v>
      </c>
      <c r="D225" s="206"/>
      <c r="E225" s="206" t="s">
        <v>198</v>
      </c>
      <c r="F225" s="206" t="str">
        <f t="shared" si="209"/>
        <v>4 cm</v>
      </c>
      <c r="G225" s="206" t="s">
        <v>2170</v>
      </c>
      <c r="H225" s="206" t="s">
        <v>2171</v>
      </c>
      <c r="I225" s="156" t="s">
        <v>80</v>
      </c>
      <c r="J225" s="156" t="s">
        <v>134</v>
      </c>
      <c r="K225" s="156" t="s">
        <v>155</v>
      </c>
      <c r="L225" s="156" t="s">
        <v>66</v>
      </c>
      <c r="M225" s="156" t="s">
        <v>188</v>
      </c>
      <c r="N225" s="7">
        <v>1960</v>
      </c>
      <c r="O225" s="156">
        <v>1</v>
      </c>
      <c r="P225" s="156">
        <v>0</v>
      </c>
      <c r="Q225" s="156" t="s">
        <v>435</v>
      </c>
      <c r="R225" s="156" t="s">
        <v>58</v>
      </c>
      <c r="S225" s="19">
        <v>4</v>
      </c>
      <c r="T225" s="19">
        <v>0.5</v>
      </c>
      <c r="U225" s="19">
        <v>2016</v>
      </c>
      <c r="V225" s="19" t="e">
        <v>#N/A</v>
      </c>
      <c r="W225" s="28" t="s">
        <v>59</v>
      </c>
      <c r="X225" s="19" t="e">
        <v>#N/A</v>
      </c>
      <c r="Y225" s="105">
        <f ca="1">IFERROR(OFFSET(Tab.Const.ConstrBorder!$A$1,MATCH(Q225,Tab.Const.ConstrBorder!$A:$A,0)-1,MATCH(Y$87,Tab.Const.ConstrBorder!$1:$1,0)-1),0)</f>
        <v>0</v>
      </c>
      <c r="Z225" s="18">
        <f t="shared" si="188"/>
        <v>1960</v>
      </c>
      <c r="AA225" s="17">
        <f>MATCH(Z225,Tab.Year.Period!$11:$11,1)-3</f>
        <v>5</v>
      </c>
      <c r="AB225" s="17">
        <f>MATCH(AB$88&amp;"."&amp;TEXT(AA225,"00"),Tab.U.Default!$A:$A,0)</f>
        <v>28</v>
      </c>
      <c r="AC225" s="105">
        <f ca="1">OFFSET(Tab.U.Default!$A$1,$AB225-1,MATCH("U_Class_"&amp;IF($J225="TopCeiling","UpperCeiling",$J225)&amp;"_"&amp;AC$87,Tab.U.Default!$1:$1,0)-1)</f>
        <v>1.2</v>
      </c>
      <c r="AD225" s="105">
        <f ca="1">OFFSET(Tab.U.Default!$A$1,$AB225-1,MATCH("U_Class_"&amp;IF($J225="TopCeiling","UpperCeiling",$J225)&amp;"_"&amp;AD$87,Tab.U.Default!$1:$1,0)-1)</f>
        <v>1.2</v>
      </c>
      <c r="AE225" s="105">
        <f ca="1">OFFSET(Tab.U.Default!$A$1,$AB225-1,MATCH("U_Class_"&amp;IF($J225="TopCeiling","UpperCeiling",$J225)&amp;"_"&amp;AE$87,Tab.U.Default!$1:$1,0)-1)</f>
        <v>0.8</v>
      </c>
      <c r="AF225" s="26">
        <f t="shared" ca="1" si="189"/>
        <v>1.2</v>
      </c>
      <c r="AG225" s="26">
        <f t="shared" ca="1" si="190"/>
        <v>1.2</v>
      </c>
      <c r="AH225" s="18" t="str">
        <f t="shared" si="168"/>
        <v>Refurbish</v>
      </c>
      <c r="AI225" s="18" t="str">
        <f t="shared" si="191"/>
        <v>Add</v>
      </c>
      <c r="AJ225" s="18">
        <f t="shared" si="192"/>
        <v>2016</v>
      </c>
      <c r="AK225" s="17">
        <f>MATCH(AJ225,Tab.Year.Period!$11:$11,1)-3</f>
        <v>12</v>
      </c>
      <c r="AL225" s="17">
        <f>MATCH(AL$88&amp;"."&amp;TEXT(AK225,"00"),Tab.Insulation.Default!$A:$A,0)</f>
        <v>23</v>
      </c>
      <c r="AM225" s="20" t="e">
        <f ca="1">IF(ISNA(IF(S225="",#N/A,S225)),OFFSET(Tab.Insulation.Default!$A$1,$AL225-1,MATCH(AM$87&amp;"_"&amp;$K225,Tab.Insulation.Default!$1:$1,0)-1),#N/A)</f>
        <v>#N/A</v>
      </c>
      <c r="AN225" s="27">
        <f t="shared" si="193"/>
        <v>4</v>
      </c>
      <c r="AO225" s="22">
        <f ca="1">IF(ISNA(IF(V225="",#N/A,V225)),OFFSET(Tab.Insulation.Default!$A$1,$AL225-1,MATCH(AO$87&amp;"_"&amp;$K225,Tab.Insulation.Default!$1:$1,0)-1),#N/A)</f>
        <v>3.5000000000000003E-2</v>
      </c>
      <c r="AP225" s="23">
        <f t="shared" ca="1" si="194"/>
        <v>3.5000000000000003E-2</v>
      </c>
      <c r="AQ225" s="29" t="str">
        <f t="shared" si="169"/>
        <v>Gen.Refurbished.12</v>
      </c>
      <c r="AR225" s="17">
        <f>MATCH(AR$88&amp;"."&amp;AQ225,Tab.Measure.f.Default!$A:$A,0)</f>
        <v>23</v>
      </c>
      <c r="AS225" s="21">
        <f ca="1">OFFSET(Tab.Measure.f.Default!$A$1,AR225-1,MATCH(AS$87&amp;"_"&amp;$J225,Tab.Measure.f.Default!$1:$1,0)-1)</f>
        <v>0.75</v>
      </c>
      <c r="AT225" s="29" t="str">
        <f t="shared" si="170"/>
        <v>MUH.NA.05</v>
      </c>
      <c r="AU225" s="17">
        <f>MATCH(AU$88&amp;"."&amp;AT225,Tab.Measure.f.Default!$A:$A,0)</f>
        <v>40</v>
      </c>
      <c r="AV225" s="21">
        <f ca="1">OFFSET(Tab.Measure.f.Default!$A$1,AU225-1,MATCH(AV$87&amp;"_"&amp;$J225,Tab.Measure.f.Default!$1:$1,0)-1)</f>
        <v>0.37</v>
      </c>
      <c r="AW225" s="30">
        <f t="shared" si="195"/>
        <v>0.5</v>
      </c>
      <c r="AX225" s="9">
        <f t="shared" ca="1" si="171"/>
        <v>0.83333333333333337</v>
      </c>
      <c r="AY225" s="9">
        <f t="shared" ca="1" si="172"/>
        <v>1.1428571428571428</v>
      </c>
      <c r="AZ225" s="9">
        <f t="shared" ca="1" si="196"/>
        <v>1.9761904761904763</v>
      </c>
      <c r="BA225" s="9">
        <f t="shared" ca="1" si="197"/>
        <v>0.50602409638554213</v>
      </c>
      <c r="BB225" s="9">
        <f t="shared" ca="1" si="173"/>
        <v>0.85301204819277099</v>
      </c>
      <c r="BC225" s="32" t="str">
        <f t="shared" si="174"/>
        <v>D</v>
      </c>
      <c r="BD225" s="20" t="str">
        <f ca="1">OFFSET(Tab.Uncertainty.Levels!$A$1,MATCH(BD$88,Tab.Uncertainty.Levels!$A:$A,0)-1,MATCH(BD$87&amp;"_"&amp;BC225,Tab.Uncertainty.Levels!$1:$1,0)-1)</f>
        <v>Use of default values; building constructed until 1983</v>
      </c>
      <c r="BE225" s="24">
        <f ca="1">OFFSET(Tab.Uncertainty.Levels!$A$1,MATCH(BE$88,Tab.Uncertainty.Levels!$A:$A,0)-1,MATCH(BE$87&amp;"_"&amp;BC225,Tab.Uncertainty.Levels!$1:$1,0)-1)</f>
        <v>0.3</v>
      </c>
      <c r="BF225" s="32" t="str">
        <f t="shared" si="175"/>
        <v>-</v>
      </c>
      <c r="BG225" s="20" t="e">
        <f ca="1">OFFSET(Tab.Uncertainty.Levels!$A$1,MATCH(BG$88,Tab.Uncertainty.Levels!$A:$A,0)-1,MATCH(BG$87&amp;"_"&amp;BF225,Tab.Uncertainty.Levels!$1:$1,0)-1)</f>
        <v>#N/A</v>
      </c>
      <c r="BH225" s="24" t="e">
        <f ca="1">OFFSET(Tab.Uncertainty.Levels!$A$1,MATCH(BH$88,Tab.Uncertainty.Levels!$A:$A,0)-1,MATCH(BH$87&amp;"_"&amp;BF225,Tab.Uncertainty.Levels!$1:$1,0)-1)</f>
        <v>#N/A</v>
      </c>
      <c r="BI225" s="32" t="str">
        <f t="shared" si="137"/>
        <v>D</v>
      </c>
      <c r="BJ225" s="13">
        <f ca="1">IF(BF225="-",BE225,BH225)</f>
        <v>0.3</v>
      </c>
      <c r="BK225" s="32" t="str">
        <f>IF(OR($L225="NoDataSource",IFERROR(IF($S225="",#N/A,$S225),0)=0),IF(IFERROR(IF(U225="",#N/A,U225),0)=0,"E","D"),IF($L225="DesignDataPlusQA","A",IF($L225="DesignData","B","C")))</f>
        <v>C</v>
      </c>
      <c r="BL225" s="20" t="str">
        <f ca="1">OFFSET(Tab.Uncertainty.Levels!$A$1,MATCH(BL$88,Tab.Uncertainty.Levels!$A:$A,0)-1,MATCH(BL$87&amp;"_"&amp;BK225,Tab.Uncertainty.Levels!$1:$1,0)-1)</f>
        <v>Insulation thickness determined by inspection onsite / record or statement of owner</v>
      </c>
      <c r="BM225" s="24">
        <f ca="1">OFFSET(Tab.Uncertainty.Levels!$A$1,MATCH(BM$88,Tab.Uncertainty.Levels!$A:$A,0)-1,MATCH(BM$87&amp;"_"&amp;BK225,Tab.Uncertainty.Levels!$1:$1,0)-1)</f>
        <v>0.25</v>
      </c>
      <c r="BN225" s="34">
        <f ca="1">OFFSET(Tab.Uncertainty.Levels!$A$1,MATCH(BN$88,Tab.Uncertainty.Levels!$A:$A,0)-1,MATCH(BN$87&amp;"_"&amp;BK225,Tab.Uncertainty.Levels!$1:$1,0)-1)</f>
        <v>2</v>
      </c>
      <c r="BO225" s="13">
        <f ca="1">IFERROR(MIN(BM225,BN225/AN225),0)</f>
        <v>0.25</v>
      </c>
      <c r="BP225" s="32" t="str">
        <f>IF(OR($L225="NoDataSource",IFERROR(IF($V225="",#N/A,$V225),0)=0),IF(IFERROR(IF(U225="",#N/A,U225),0)=0,"E","D"),IF($L225="DesignDataPlusQA","A",IF($L225="DesignData","B","C")))</f>
        <v>D</v>
      </c>
      <c r="BQ225" s="20" t="str">
        <f ca="1">OFFSET(Tab.Uncertainty.Levels!$A$1,MATCH(BQ$88,Tab.Uncertainty.Levels!$A:$A,0)-1,MATCH(BQ$87&amp;"_"&amp;BP225,Tab.Uncertainty.Levels!$1:$1,0)-1)</f>
        <v>Insulation available; no information about material</v>
      </c>
      <c r="BR225" s="97">
        <f ca="1">OFFSET(Tab.Uncertainty.Levels!$A$1,MATCH(BR$88,Tab.Uncertainty.Levels!$A:$A,0)-1,MATCH(BR$87&amp;"_"&amp;BP225,Tab.Uncertainty.Levels!$1:$1,0)-1)</f>
        <v>0.2</v>
      </c>
      <c r="BS225" s="32" t="str">
        <f>IF(L225="NoDataSource","D",IF(IFERROR(IF($T225="",#N/A,$T225),0)=0,IF(OR(IFERROR(IF($S225="",#N/A,$S225),0)&gt;0,$R225="Refurbish"),"D","E"),IF($L225="DesignDataPlusQA","A",IF($L225="DesignData","B","C"))))</f>
        <v>C</v>
      </c>
      <c r="BT225" s="20" t="str">
        <f ca="1">OFFSET(Tab.Uncertainty.Levels!$A$1,MATCH(BT$88,Tab.Uncertainty.Levels!$A:$A,0)-1,MATCH(BT$87&amp;"_"&amp;BS225,Tab.Uncertainty.Levels!$1:$1,0)-1)</f>
        <v>Insulation fraction determined by inspection onsite / record or statement of owner</v>
      </c>
      <c r="BU225" s="33">
        <f ca="1">OFFSET(Tab.Uncertainty.Levels!$A$1,MATCH(BU$88,Tab.Uncertainty.Levels!$A:$A,0)-1,MATCH(BU$87&amp;"_"&amp;BS225,Tab.Uncertainty.Levels!$1:$1,0)-1)</f>
        <v>0.2</v>
      </c>
      <c r="BV225" s="13">
        <f ca="1">IFERROR(MIN(BU225/AW225,1,(1-AW225)/AW225),0)</f>
        <v>0.4</v>
      </c>
      <c r="BW225" s="96">
        <f ca="1">ABS(1+(AW225*(1/(1+AN225/100/AP225*AG225)^2-1)))*BJ225*$AG225</f>
        <v>0.21200754826535056</v>
      </c>
      <c r="BX225" s="96">
        <f ca="1">ABS(-AG225+1/(1/AG225+AN225/100/AP225))*BV225*AW225</f>
        <v>0.13879518072289157</v>
      </c>
      <c r="BY225" s="96">
        <f ca="1">ABS(-AW225*AP225/((AP225/AG225+AN225/100)^2))*(BO225*AN225/100)</f>
        <v>3.6580055160400644E-2</v>
      </c>
      <c r="BZ225" s="202">
        <f ca="1">ABS(AW225*AN225/100/(1/AG225*AP225+AN225/100)^2)*(BR225*AP225)</f>
        <v>2.9264044128320517E-2</v>
      </c>
      <c r="CA225" s="103">
        <f t="shared" ca="1" si="198"/>
        <v>0.25769320407738217</v>
      </c>
      <c r="CB225" s="37">
        <f t="shared" ca="1" si="176"/>
        <v>0.24853992240147033</v>
      </c>
      <c r="CC225" s="37">
        <f t="shared" ca="1" si="177"/>
        <v>0.16271186440677968</v>
      </c>
      <c r="CD225" s="37">
        <f t="shared" ca="1" si="178"/>
        <v>4.2883397998774775E-2</v>
      </c>
      <c r="CE225" s="37">
        <f t="shared" ca="1" si="179"/>
        <v>3.4306718399019817E-2</v>
      </c>
      <c r="CF225" s="13">
        <f t="shared" ca="1" si="180"/>
        <v>0.30209796523195931</v>
      </c>
      <c r="CG225" s="101">
        <f ca="1">AG225</f>
        <v>1.2</v>
      </c>
      <c r="CH225" s="101">
        <f>AW225</f>
        <v>0.5</v>
      </c>
      <c r="CI225" s="203">
        <f>IF(CH225&gt;0,AN225,0)</f>
        <v>4</v>
      </c>
      <c r="CJ225" s="102">
        <f ca="1">IF(AND(CH225&gt;0,CI225&gt;0),AP225,0)</f>
        <v>3.5000000000000003E-2</v>
      </c>
      <c r="CK225" s="102">
        <f ca="1">BB225</f>
        <v>0.85301204819277099</v>
      </c>
      <c r="CL225" s="37">
        <f t="shared" ca="1" si="199"/>
        <v>0.3</v>
      </c>
      <c r="CM225" s="37">
        <f t="shared" ca="1" si="200"/>
        <v>0.4</v>
      </c>
      <c r="CN225" s="37">
        <f t="shared" ca="1" si="201"/>
        <v>0.25</v>
      </c>
      <c r="CO225" s="37">
        <f t="shared" ca="1" si="202"/>
        <v>0.2</v>
      </c>
      <c r="CP225" s="37">
        <f t="shared" ca="1" si="203"/>
        <v>0.30209796523195931</v>
      </c>
      <c r="CQ225" s="95">
        <f t="shared" ca="1" si="204"/>
        <v>0.36</v>
      </c>
      <c r="CR225" s="95">
        <f t="shared" ca="1" si="205"/>
        <v>0.2</v>
      </c>
      <c r="CS225" s="95">
        <f t="shared" ca="1" si="206"/>
        <v>1</v>
      </c>
      <c r="CT225" s="103">
        <f t="shared" ca="1" si="207"/>
        <v>7.000000000000001E-3</v>
      </c>
      <c r="CU225" s="95">
        <f t="shared" ca="1" si="208"/>
        <v>0.25769320407738211</v>
      </c>
      <c r="CV225" s="37">
        <f ca="1">$CB225^2/$CF225^2</f>
        <v>0.67685667563905949</v>
      </c>
      <c r="CW225" s="37">
        <f ca="1">$CD225^2/$CF225^2</f>
        <v>2.015035868666543E-2</v>
      </c>
      <c r="CX225" s="37">
        <f ca="1">$CE225^2/$CF225^2</f>
        <v>1.2896229559465873E-2</v>
      </c>
      <c r="CY225" s="37">
        <f ca="1">$CC225^2/$CF225^2</f>
        <v>0.29009673611480941</v>
      </c>
      <c r="DA225" s="98" t="s">
        <v>214</v>
      </c>
      <c r="DB225" s="36">
        <f ca="1">OFFSET($A$1,ROW(DB225)-1,MATCH(DA225,$1:$1,0)-1)</f>
        <v>4</v>
      </c>
      <c r="DC225" s="9">
        <f ca="1">BB225</f>
        <v>0.85301204819277099</v>
      </c>
      <c r="DD225" s="9">
        <f ca="1">$DC225+$CA225</f>
        <v>1.110705252270153</v>
      </c>
      <c r="DE225" s="9">
        <f ca="1">$DC225-$CA225</f>
        <v>0.59531884411538882</v>
      </c>
      <c r="DF225" s="10">
        <f t="shared" ca="1" si="181"/>
        <v>0.30209796523195931</v>
      </c>
    </row>
    <row r="226" spans="1:110" s="8" customFormat="1" ht="32.4" customHeight="1">
      <c r="A226" s="206" t="s">
        <v>662</v>
      </c>
      <c r="B226" s="208" t="s">
        <v>2346</v>
      </c>
      <c r="C226" s="206" t="str">
        <f t="shared" si="186"/>
        <v>Parameter-Variation: d_Insulation = 8 cm</v>
      </c>
      <c r="D226" s="206"/>
      <c r="E226" s="206" t="s">
        <v>198</v>
      </c>
      <c r="F226" s="206" t="str">
        <f t="shared" si="209"/>
        <v>8 cm</v>
      </c>
      <c r="G226" s="206" t="s">
        <v>2170</v>
      </c>
      <c r="H226" s="206" t="s">
        <v>2171</v>
      </c>
      <c r="I226" s="156" t="s">
        <v>80</v>
      </c>
      <c r="J226" s="156" t="s">
        <v>134</v>
      </c>
      <c r="K226" s="156" t="s">
        <v>155</v>
      </c>
      <c r="L226" s="156" t="s">
        <v>66</v>
      </c>
      <c r="M226" s="156" t="s">
        <v>188</v>
      </c>
      <c r="N226" s="7">
        <v>1960</v>
      </c>
      <c r="O226" s="156">
        <v>1</v>
      </c>
      <c r="P226" s="156">
        <v>0</v>
      </c>
      <c r="Q226" s="156" t="s">
        <v>435</v>
      </c>
      <c r="R226" s="156" t="s">
        <v>58</v>
      </c>
      <c r="S226" s="19">
        <v>8</v>
      </c>
      <c r="T226" s="19">
        <v>0.5</v>
      </c>
      <c r="U226" s="19">
        <v>2016</v>
      </c>
      <c r="V226" s="19" t="e">
        <v>#N/A</v>
      </c>
      <c r="W226" s="28" t="s">
        <v>59</v>
      </c>
      <c r="X226" s="19" t="e">
        <v>#N/A</v>
      </c>
      <c r="Y226" s="105">
        <f ca="1">IFERROR(OFFSET(Tab.Const.ConstrBorder!$A$1,MATCH(Q226,Tab.Const.ConstrBorder!$A:$A,0)-1,MATCH(Y$87,Tab.Const.ConstrBorder!$1:$1,0)-1),0)</f>
        <v>0</v>
      </c>
      <c r="Z226" s="18">
        <f t="shared" si="188"/>
        <v>1960</v>
      </c>
      <c r="AA226" s="17">
        <f>MATCH(Z226,Tab.Year.Period!$11:$11,1)-3</f>
        <v>5</v>
      </c>
      <c r="AB226" s="17">
        <f>MATCH(AB$88&amp;"."&amp;TEXT(AA226,"00"),Tab.U.Default!$A:$A,0)</f>
        <v>28</v>
      </c>
      <c r="AC226" s="105">
        <f ca="1">OFFSET(Tab.U.Default!$A$1,$AB226-1,MATCH("U_Class_"&amp;IF($J226="TopCeiling","UpperCeiling",$J226)&amp;"_"&amp;AC$87,Tab.U.Default!$1:$1,0)-1)</f>
        <v>1.2</v>
      </c>
      <c r="AD226" s="105">
        <f ca="1">OFFSET(Tab.U.Default!$A$1,$AB226-1,MATCH("U_Class_"&amp;IF($J226="TopCeiling","UpperCeiling",$J226)&amp;"_"&amp;AD$87,Tab.U.Default!$1:$1,0)-1)</f>
        <v>1.2</v>
      </c>
      <c r="AE226" s="105">
        <f ca="1">OFFSET(Tab.U.Default!$A$1,$AB226-1,MATCH("U_Class_"&amp;IF($J226="TopCeiling","UpperCeiling",$J226)&amp;"_"&amp;AE$87,Tab.U.Default!$1:$1,0)-1)</f>
        <v>0.8</v>
      </c>
      <c r="AF226" s="26">
        <f t="shared" ca="1" si="189"/>
        <v>1.2</v>
      </c>
      <c r="AG226" s="26">
        <f t="shared" ca="1" si="190"/>
        <v>1.2</v>
      </c>
      <c r="AH226" s="18" t="str">
        <f t="shared" si="168"/>
        <v>Refurbish</v>
      </c>
      <c r="AI226" s="18" t="str">
        <f t="shared" si="191"/>
        <v>Add</v>
      </c>
      <c r="AJ226" s="18">
        <f t="shared" si="192"/>
        <v>2016</v>
      </c>
      <c r="AK226" s="17">
        <f>MATCH(AJ226,Tab.Year.Period!$11:$11,1)-3</f>
        <v>12</v>
      </c>
      <c r="AL226" s="17">
        <f>MATCH(AL$88&amp;"."&amp;TEXT(AK226,"00"),Tab.Insulation.Default!$A:$A,0)</f>
        <v>23</v>
      </c>
      <c r="AM226" s="20" t="e">
        <f ca="1">IF(ISNA(IF(S226="",#N/A,S226)),OFFSET(Tab.Insulation.Default!$A$1,$AL226-1,MATCH(AM$87&amp;"_"&amp;$K226,Tab.Insulation.Default!$1:$1,0)-1),#N/A)</f>
        <v>#N/A</v>
      </c>
      <c r="AN226" s="27">
        <f t="shared" si="193"/>
        <v>8</v>
      </c>
      <c r="AO226" s="22">
        <f ca="1">IF(ISNA(IF(V226="",#N/A,V226)),OFFSET(Tab.Insulation.Default!$A$1,$AL226-1,MATCH(AO$87&amp;"_"&amp;$K226,Tab.Insulation.Default!$1:$1,0)-1),#N/A)</f>
        <v>3.5000000000000003E-2</v>
      </c>
      <c r="AP226" s="23">
        <f t="shared" ca="1" si="194"/>
        <v>3.5000000000000003E-2</v>
      </c>
      <c r="AQ226" s="29" t="str">
        <f t="shared" si="169"/>
        <v>Gen.Refurbished.12</v>
      </c>
      <c r="AR226" s="17">
        <f>MATCH(AR$88&amp;"."&amp;AQ226,Tab.Measure.f.Default!$A:$A,0)</f>
        <v>23</v>
      </c>
      <c r="AS226" s="21">
        <f ca="1">OFFSET(Tab.Measure.f.Default!$A$1,AR226-1,MATCH(AS$87&amp;"_"&amp;$J226,Tab.Measure.f.Default!$1:$1,0)-1)</f>
        <v>0.75</v>
      </c>
      <c r="AT226" s="29" t="str">
        <f t="shared" si="170"/>
        <v>MUH.NA.05</v>
      </c>
      <c r="AU226" s="17">
        <f>MATCH(AU$88&amp;"."&amp;AT226,Tab.Measure.f.Default!$A:$A,0)</f>
        <v>40</v>
      </c>
      <c r="AV226" s="21">
        <f ca="1">OFFSET(Tab.Measure.f.Default!$A$1,AU226-1,MATCH(AV$87&amp;"_"&amp;$J226,Tab.Measure.f.Default!$1:$1,0)-1)</f>
        <v>0.37</v>
      </c>
      <c r="AW226" s="30">
        <f t="shared" si="195"/>
        <v>0.5</v>
      </c>
      <c r="AX226" s="9">
        <f t="shared" ca="1" si="171"/>
        <v>0.83333333333333337</v>
      </c>
      <c r="AY226" s="9">
        <f t="shared" ca="1" si="172"/>
        <v>2.2857142857142856</v>
      </c>
      <c r="AZ226" s="9">
        <f t="shared" ca="1" si="196"/>
        <v>3.1190476190476191</v>
      </c>
      <c r="BA226" s="9">
        <f t="shared" ca="1" si="197"/>
        <v>0.32061068702290074</v>
      </c>
      <c r="BB226" s="9">
        <f t="shared" ca="1" si="173"/>
        <v>0.7603053435114504</v>
      </c>
      <c r="BC226" s="32" t="str">
        <f t="shared" si="174"/>
        <v>D</v>
      </c>
      <c r="BD226" s="20" t="str">
        <f ca="1">OFFSET(Tab.Uncertainty.Levels!$A$1,MATCH(BD$88,Tab.Uncertainty.Levels!$A:$A,0)-1,MATCH(BD$87&amp;"_"&amp;BC226,Tab.Uncertainty.Levels!$1:$1,0)-1)</f>
        <v>Use of default values; building constructed until 1983</v>
      </c>
      <c r="BE226" s="24">
        <f ca="1">OFFSET(Tab.Uncertainty.Levels!$A$1,MATCH(BE$88,Tab.Uncertainty.Levels!$A:$A,0)-1,MATCH(BE$87&amp;"_"&amp;BC226,Tab.Uncertainty.Levels!$1:$1,0)-1)</f>
        <v>0.3</v>
      </c>
      <c r="BF226" s="32" t="str">
        <f t="shared" si="175"/>
        <v>-</v>
      </c>
      <c r="BG226" s="20" t="e">
        <f ca="1">OFFSET(Tab.Uncertainty.Levels!$A$1,MATCH(BG$88,Tab.Uncertainty.Levels!$A:$A,0)-1,MATCH(BG$87&amp;"_"&amp;BF226,Tab.Uncertainty.Levels!$1:$1,0)-1)</f>
        <v>#N/A</v>
      </c>
      <c r="BH226" s="24" t="e">
        <f ca="1">OFFSET(Tab.Uncertainty.Levels!$A$1,MATCH(BH$88,Tab.Uncertainty.Levels!$A:$A,0)-1,MATCH(BH$87&amp;"_"&amp;BF226,Tab.Uncertainty.Levels!$1:$1,0)-1)</f>
        <v>#N/A</v>
      </c>
      <c r="BI226" s="32" t="str">
        <f t="shared" si="137"/>
        <v>D</v>
      </c>
      <c r="BJ226" s="13">
        <f ca="1">IF(BF226="-",BE226,BH226)</f>
        <v>0.3</v>
      </c>
      <c r="BK226" s="32" t="str">
        <f>IF(OR($L226="NoDataSource",IFERROR(IF($S226="",#N/A,$S226),0)=0),IF(IFERROR(IF(U226="",#N/A,U226),0)=0,"E","D"),IF($L226="DesignDataPlusQA","A",IF($L226="DesignData","B","C")))</f>
        <v>C</v>
      </c>
      <c r="BL226" s="20" t="str">
        <f ca="1">OFFSET(Tab.Uncertainty.Levels!$A$1,MATCH(BL$88,Tab.Uncertainty.Levels!$A:$A,0)-1,MATCH(BL$87&amp;"_"&amp;BK226,Tab.Uncertainty.Levels!$1:$1,0)-1)</f>
        <v>Insulation thickness determined by inspection onsite / record or statement of owner</v>
      </c>
      <c r="BM226" s="24">
        <f ca="1">OFFSET(Tab.Uncertainty.Levels!$A$1,MATCH(BM$88,Tab.Uncertainty.Levels!$A:$A,0)-1,MATCH(BM$87&amp;"_"&amp;BK226,Tab.Uncertainty.Levels!$1:$1,0)-1)</f>
        <v>0.25</v>
      </c>
      <c r="BN226" s="34">
        <f ca="1">OFFSET(Tab.Uncertainty.Levels!$A$1,MATCH(BN$88,Tab.Uncertainty.Levels!$A:$A,0)-1,MATCH(BN$87&amp;"_"&amp;BK226,Tab.Uncertainty.Levels!$1:$1,0)-1)</f>
        <v>2</v>
      </c>
      <c r="BO226" s="13">
        <f ca="1">IFERROR(MIN(BM226,BN226/AN226),0)</f>
        <v>0.25</v>
      </c>
      <c r="BP226" s="32" t="str">
        <f>IF(OR($L226="NoDataSource",IFERROR(IF($V226="",#N/A,$V226),0)=0),IF(IFERROR(IF(U226="",#N/A,U226),0)=0,"E","D"),IF($L226="DesignDataPlusQA","A",IF($L226="DesignData","B","C")))</f>
        <v>D</v>
      </c>
      <c r="BQ226" s="20" t="str">
        <f ca="1">OFFSET(Tab.Uncertainty.Levels!$A$1,MATCH(BQ$88,Tab.Uncertainty.Levels!$A:$A,0)-1,MATCH(BQ$87&amp;"_"&amp;BP226,Tab.Uncertainty.Levels!$1:$1,0)-1)</f>
        <v>Insulation available; no information about material</v>
      </c>
      <c r="BR226" s="97">
        <f ca="1">OFFSET(Tab.Uncertainty.Levels!$A$1,MATCH(BR$88,Tab.Uncertainty.Levels!$A:$A,0)-1,MATCH(BR$87&amp;"_"&amp;BP226,Tab.Uncertainty.Levels!$1:$1,0)-1)</f>
        <v>0.2</v>
      </c>
      <c r="BS226" s="32" t="str">
        <f>IF(L226="NoDataSource","D",IF(IFERROR(IF($T226="",#N/A,$T226),0)=0,IF(OR(IFERROR(IF($S226="",#N/A,$S226),0)&gt;0,$R226="Refurbish"),"D","E"),IF($L226="DesignDataPlusQA","A",IF($L226="DesignData","B","C"))))</f>
        <v>C</v>
      </c>
      <c r="BT226" s="20" t="str">
        <f ca="1">OFFSET(Tab.Uncertainty.Levels!$A$1,MATCH(BT$88,Tab.Uncertainty.Levels!$A:$A,0)-1,MATCH(BT$87&amp;"_"&amp;BS226,Tab.Uncertainty.Levels!$1:$1,0)-1)</f>
        <v>Insulation fraction determined by inspection onsite / record or statement of owner</v>
      </c>
      <c r="BU226" s="33">
        <f ca="1">OFFSET(Tab.Uncertainty.Levels!$A$1,MATCH(BU$88,Tab.Uncertainty.Levels!$A:$A,0)-1,MATCH(BU$87&amp;"_"&amp;BS226,Tab.Uncertainty.Levels!$1:$1,0)-1)</f>
        <v>0.2</v>
      </c>
      <c r="BV226" s="13">
        <f ca="1">IFERROR(MIN(BU226/AW226,1,(1-AW226)/AW226),0)</f>
        <v>0.4</v>
      </c>
      <c r="BW226" s="96">
        <f ca="1">ABS(1+(AW226*(1/(1+AN226/100/AP226*AG226)^2-1)))*BJ226*$AG226</f>
        <v>0.19284890157916201</v>
      </c>
      <c r="BX226" s="96">
        <f ca="1">ABS(-AG226+1/(1/AG226+AN226/100/AP226))*BV226*AW226</f>
        <v>0.17587786259541985</v>
      </c>
      <c r="BY226" s="96">
        <f ca="1">ABS(-AW226*AP226/((AP226/AG226+AN226/100)^2))*(BO226*AN226/100)</f>
        <v>2.936891789522755E-2</v>
      </c>
      <c r="BZ226" s="202">
        <f ca="1">ABS(AW226*AN226/100/(1/AG226*AP226+AN226/100)^2)*(BR226*AP226)</f>
        <v>2.349513431618204E-2</v>
      </c>
      <c r="CA226" s="103">
        <f t="shared" ca="1" si="198"/>
        <v>0.26370111123447082</v>
      </c>
      <c r="CB226" s="37">
        <f t="shared" ca="1" si="176"/>
        <v>0.25364664765933959</v>
      </c>
      <c r="CC226" s="37">
        <f t="shared" ca="1" si="177"/>
        <v>0.23132530120481928</v>
      </c>
      <c r="CD226" s="37">
        <f t="shared" ca="1" si="178"/>
        <v>3.8627793617216959E-2</v>
      </c>
      <c r="CE226" s="37">
        <f t="shared" ca="1" si="179"/>
        <v>3.0902234893773566E-2</v>
      </c>
      <c r="CF226" s="13">
        <f t="shared" ca="1" si="180"/>
        <v>0.34683579891280802</v>
      </c>
      <c r="CG226" s="101">
        <f ca="1">AG226</f>
        <v>1.2</v>
      </c>
      <c r="CH226" s="101">
        <f>AW226</f>
        <v>0.5</v>
      </c>
      <c r="CI226" s="203">
        <f>IF(CH226&gt;0,AN226,0)</f>
        <v>8</v>
      </c>
      <c r="CJ226" s="102">
        <f ca="1">IF(AND(CH226&gt;0,CI226&gt;0),AP226,0)</f>
        <v>3.5000000000000003E-2</v>
      </c>
      <c r="CK226" s="102">
        <f ca="1">BB226</f>
        <v>0.7603053435114504</v>
      </c>
      <c r="CL226" s="37">
        <f t="shared" ca="1" si="199"/>
        <v>0.3</v>
      </c>
      <c r="CM226" s="37">
        <f t="shared" ca="1" si="200"/>
        <v>0.4</v>
      </c>
      <c r="CN226" s="37">
        <f t="shared" ca="1" si="201"/>
        <v>0.25</v>
      </c>
      <c r="CO226" s="37">
        <f t="shared" ca="1" si="202"/>
        <v>0.2</v>
      </c>
      <c r="CP226" s="37">
        <f t="shared" ca="1" si="203"/>
        <v>0.34683579891280802</v>
      </c>
      <c r="CQ226" s="95">
        <f t="shared" ca="1" si="204"/>
        <v>0.36</v>
      </c>
      <c r="CR226" s="95">
        <f t="shared" ca="1" si="205"/>
        <v>0.2</v>
      </c>
      <c r="CS226" s="95">
        <f t="shared" ca="1" si="206"/>
        <v>2</v>
      </c>
      <c r="CT226" s="103">
        <f t="shared" ca="1" si="207"/>
        <v>7.000000000000001E-3</v>
      </c>
      <c r="CU226" s="95">
        <f t="shared" ca="1" si="208"/>
        <v>0.26370111123447082</v>
      </c>
      <c r="CV226" s="37">
        <f ca="1">$CB226^2/$CF226^2</f>
        <v>0.53482342307182495</v>
      </c>
      <c r="CW226" s="37">
        <f ca="1">$CD226^2/$CF226^2</f>
        <v>1.2403720470641455E-2</v>
      </c>
      <c r="CX226" s="37">
        <f ca="1">$CE226^2/$CF226^2</f>
        <v>7.9383811012105308E-3</v>
      </c>
      <c r="CY226" s="37">
        <f ca="1">$CC226^2/$CF226^2</f>
        <v>0.44483447535632309</v>
      </c>
      <c r="DA226" s="98" t="s">
        <v>214</v>
      </c>
      <c r="DB226" s="36">
        <f ca="1">OFFSET($A$1,ROW(DB226)-1,MATCH(DA226,$1:$1,0)-1)</f>
        <v>8</v>
      </c>
      <c r="DC226" s="9">
        <f ca="1">BB226</f>
        <v>0.7603053435114504</v>
      </c>
      <c r="DD226" s="9">
        <f ca="1">$DC226+$CA226</f>
        <v>1.0240064547459213</v>
      </c>
      <c r="DE226" s="9">
        <f ca="1">$DC226-$CA226</f>
        <v>0.49660423227697958</v>
      </c>
      <c r="DF226" s="10">
        <f t="shared" ca="1" si="181"/>
        <v>0.34683579891280808</v>
      </c>
    </row>
    <row r="227" spans="1:110" s="8" customFormat="1" ht="32.4" customHeight="1">
      <c r="A227" s="206" t="s">
        <v>663</v>
      </c>
      <c r="B227" s="208" t="s">
        <v>2346</v>
      </c>
      <c r="C227" s="206" t="str">
        <f t="shared" si="186"/>
        <v>Parameter-Variation: d_Insulation = 12 cm</v>
      </c>
      <c r="D227" s="206"/>
      <c r="E227" s="206" t="s">
        <v>198</v>
      </c>
      <c r="F227" s="206" t="str">
        <f t="shared" si="209"/>
        <v>12 cm</v>
      </c>
      <c r="G227" s="206" t="s">
        <v>2170</v>
      </c>
      <c r="H227" s="206" t="s">
        <v>2171</v>
      </c>
      <c r="I227" s="156" t="s">
        <v>80</v>
      </c>
      <c r="J227" s="156" t="s">
        <v>134</v>
      </c>
      <c r="K227" s="156" t="s">
        <v>155</v>
      </c>
      <c r="L227" s="156" t="s">
        <v>66</v>
      </c>
      <c r="M227" s="156" t="s">
        <v>188</v>
      </c>
      <c r="N227" s="7">
        <v>1960</v>
      </c>
      <c r="O227" s="156">
        <v>1</v>
      </c>
      <c r="P227" s="156">
        <v>0</v>
      </c>
      <c r="Q227" s="156" t="s">
        <v>435</v>
      </c>
      <c r="R227" s="156" t="s">
        <v>58</v>
      </c>
      <c r="S227" s="19">
        <f>S226+4</f>
        <v>12</v>
      </c>
      <c r="T227" s="19">
        <v>0.5</v>
      </c>
      <c r="U227" s="19">
        <v>2016</v>
      </c>
      <c r="V227" s="19" t="e">
        <v>#N/A</v>
      </c>
      <c r="W227" s="28" t="s">
        <v>59</v>
      </c>
      <c r="X227" s="19" t="e">
        <v>#N/A</v>
      </c>
      <c r="Y227" s="105">
        <f ca="1">IFERROR(OFFSET(Tab.Const.ConstrBorder!$A$1,MATCH(Q227,Tab.Const.ConstrBorder!$A:$A,0)-1,MATCH(Y$87,Tab.Const.ConstrBorder!$1:$1,0)-1),0)</f>
        <v>0</v>
      </c>
      <c r="Z227" s="18">
        <f t="shared" si="188"/>
        <v>1960</v>
      </c>
      <c r="AA227" s="17">
        <f>MATCH(Z227,Tab.Year.Period!$11:$11,1)-3</f>
        <v>5</v>
      </c>
      <c r="AB227" s="17">
        <f>MATCH(AB$88&amp;"."&amp;TEXT(AA227,"00"),Tab.U.Default!$A:$A,0)</f>
        <v>28</v>
      </c>
      <c r="AC227" s="105">
        <f ca="1">OFFSET(Tab.U.Default!$A$1,$AB227-1,MATCH("U_Class_"&amp;IF($J227="TopCeiling","UpperCeiling",$J227)&amp;"_"&amp;AC$87,Tab.U.Default!$1:$1,0)-1)</f>
        <v>1.2</v>
      </c>
      <c r="AD227" s="105">
        <f ca="1">OFFSET(Tab.U.Default!$A$1,$AB227-1,MATCH("U_Class_"&amp;IF($J227="TopCeiling","UpperCeiling",$J227)&amp;"_"&amp;AD$87,Tab.U.Default!$1:$1,0)-1)</f>
        <v>1.2</v>
      </c>
      <c r="AE227" s="105">
        <f ca="1">OFFSET(Tab.U.Default!$A$1,$AB227-1,MATCH("U_Class_"&amp;IF($J227="TopCeiling","UpperCeiling",$J227)&amp;"_"&amp;AE$87,Tab.U.Default!$1:$1,0)-1)</f>
        <v>0.8</v>
      </c>
      <c r="AF227" s="26">
        <f t="shared" ca="1" si="189"/>
        <v>1.2</v>
      </c>
      <c r="AG227" s="26">
        <f t="shared" ca="1" si="190"/>
        <v>1.2</v>
      </c>
      <c r="AH227" s="18" t="str">
        <f t="shared" si="168"/>
        <v>Refurbish</v>
      </c>
      <c r="AI227" s="18" t="str">
        <f t="shared" si="191"/>
        <v>Add</v>
      </c>
      <c r="AJ227" s="18">
        <f t="shared" si="192"/>
        <v>2016</v>
      </c>
      <c r="AK227" s="17">
        <f>MATCH(AJ227,Tab.Year.Period!$11:$11,1)-3</f>
        <v>12</v>
      </c>
      <c r="AL227" s="17">
        <f>MATCH(AL$88&amp;"."&amp;TEXT(AK227,"00"),Tab.Insulation.Default!$A:$A,0)</f>
        <v>23</v>
      </c>
      <c r="AM227" s="20" t="e">
        <f ca="1">IF(ISNA(IF(S227="",#N/A,S227)),OFFSET(Tab.Insulation.Default!$A$1,$AL227-1,MATCH(AM$87&amp;"_"&amp;$K227,Tab.Insulation.Default!$1:$1,0)-1),#N/A)</f>
        <v>#N/A</v>
      </c>
      <c r="AN227" s="27">
        <f t="shared" si="193"/>
        <v>12</v>
      </c>
      <c r="AO227" s="22">
        <f ca="1">IF(ISNA(IF(V227="",#N/A,V227)),OFFSET(Tab.Insulation.Default!$A$1,$AL227-1,MATCH(AO$87&amp;"_"&amp;$K227,Tab.Insulation.Default!$1:$1,0)-1),#N/A)</f>
        <v>3.5000000000000003E-2</v>
      </c>
      <c r="AP227" s="23">
        <f t="shared" ca="1" si="194"/>
        <v>3.5000000000000003E-2</v>
      </c>
      <c r="AQ227" s="29" t="str">
        <f t="shared" si="169"/>
        <v>Gen.Refurbished.12</v>
      </c>
      <c r="AR227" s="17">
        <f>MATCH(AR$88&amp;"."&amp;AQ227,Tab.Measure.f.Default!$A:$A,0)</f>
        <v>23</v>
      </c>
      <c r="AS227" s="21">
        <f ca="1">OFFSET(Tab.Measure.f.Default!$A$1,AR227-1,MATCH(AS$87&amp;"_"&amp;$J227,Tab.Measure.f.Default!$1:$1,0)-1)</f>
        <v>0.75</v>
      </c>
      <c r="AT227" s="29" t="str">
        <f t="shared" si="170"/>
        <v>MUH.NA.05</v>
      </c>
      <c r="AU227" s="17">
        <f>MATCH(AU$88&amp;"."&amp;AT227,Tab.Measure.f.Default!$A:$A,0)</f>
        <v>40</v>
      </c>
      <c r="AV227" s="21">
        <f ca="1">OFFSET(Tab.Measure.f.Default!$A$1,AU227-1,MATCH(AV$87&amp;"_"&amp;$J227,Tab.Measure.f.Default!$1:$1,0)-1)</f>
        <v>0.37</v>
      </c>
      <c r="AW227" s="30">
        <f t="shared" si="195"/>
        <v>0.5</v>
      </c>
      <c r="AX227" s="9">
        <f t="shared" ca="1" si="171"/>
        <v>0.83333333333333337</v>
      </c>
      <c r="AY227" s="9">
        <f t="shared" ca="1" si="172"/>
        <v>3.4285714285714279</v>
      </c>
      <c r="AZ227" s="9">
        <f t="shared" ca="1" si="196"/>
        <v>4.261904761904761</v>
      </c>
      <c r="BA227" s="9">
        <f t="shared" ca="1" si="197"/>
        <v>0.23463687150837995</v>
      </c>
      <c r="BB227" s="9">
        <f t="shared" ca="1" si="173"/>
        <v>0.71731843575418996</v>
      </c>
      <c r="BC227" s="32" t="str">
        <f t="shared" si="174"/>
        <v>D</v>
      </c>
      <c r="BD227" s="20" t="str">
        <f ca="1">OFFSET(Tab.Uncertainty.Levels!$A$1,MATCH(BD$88,Tab.Uncertainty.Levels!$A:$A,0)-1,MATCH(BD$87&amp;"_"&amp;BC227,Tab.Uncertainty.Levels!$1:$1,0)-1)</f>
        <v>Use of default values; building constructed until 1983</v>
      </c>
      <c r="BE227" s="24">
        <f ca="1">OFFSET(Tab.Uncertainty.Levels!$A$1,MATCH(BE$88,Tab.Uncertainty.Levels!$A:$A,0)-1,MATCH(BE$87&amp;"_"&amp;BC227,Tab.Uncertainty.Levels!$1:$1,0)-1)</f>
        <v>0.3</v>
      </c>
      <c r="BF227" s="32" t="str">
        <f t="shared" si="175"/>
        <v>-</v>
      </c>
      <c r="BG227" s="20" t="e">
        <f ca="1">OFFSET(Tab.Uncertainty.Levels!$A$1,MATCH(BG$88,Tab.Uncertainty.Levels!$A:$A,0)-1,MATCH(BG$87&amp;"_"&amp;BF227,Tab.Uncertainty.Levels!$1:$1,0)-1)</f>
        <v>#N/A</v>
      </c>
      <c r="BH227" s="24" t="e">
        <f ca="1">OFFSET(Tab.Uncertainty.Levels!$A$1,MATCH(BH$88,Tab.Uncertainty.Levels!$A:$A,0)-1,MATCH(BH$87&amp;"_"&amp;BF227,Tab.Uncertainty.Levels!$1:$1,0)-1)</f>
        <v>#N/A</v>
      </c>
      <c r="BI227" s="32" t="str">
        <f t="shared" si="137"/>
        <v>D</v>
      </c>
      <c r="BJ227" s="13">
        <f ca="1">IF(BF227="-",BE227,BH227)</f>
        <v>0.3</v>
      </c>
      <c r="BK227" s="32" t="str">
        <f>IF(OR($L227="NoDataSource",IFERROR(IF($S227="",#N/A,$S227),0)=0),IF(IFERROR(IF(U227="",#N/A,U227),0)=0,"E","D"),IF($L227="DesignDataPlusQA","A",IF($L227="DesignData","B","C")))</f>
        <v>C</v>
      </c>
      <c r="BL227" s="20" t="str">
        <f ca="1">OFFSET(Tab.Uncertainty.Levels!$A$1,MATCH(BL$88,Tab.Uncertainty.Levels!$A:$A,0)-1,MATCH(BL$87&amp;"_"&amp;BK227,Tab.Uncertainty.Levels!$1:$1,0)-1)</f>
        <v>Insulation thickness determined by inspection onsite / record or statement of owner</v>
      </c>
      <c r="BM227" s="24">
        <f ca="1">OFFSET(Tab.Uncertainty.Levels!$A$1,MATCH(BM$88,Tab.Uncertainty.Levels!$A:$A,0)-1,MATCH(BM$87&amp;"_"&amp;BK227,Tab.Uncertainty.Levels!$1:$1,0)-1)</f>
        <v>0.25</v>
      </c>
      <c r="BN227" s="34">
        <f ca="1">OFFSET(Tab.Uncertainty.Levels!$A$1,MATCH(BN$88,Tab.Uncertainty.Levels!$A:$A,0)-1,MATCH(BN$87&amp;"_"&amp;BK227,Tab.Uncertainty.Levels!$1:$1,0)-1)</f>
        <v>2</v>
      </c>
      <c r="BO227" s="13">
        <f ca="1">IFERROR(MIN(BM227,BN227/AN227),0)</f>
        <v>0.16666666666666666</v>
      </c>
      <c r="BP227" s="32" t="str">
        <f>IF(OR($L227="NoDataSource",IFERROR(IF($V227="",#N/A,$V227),0)=0),IF(IFERROR(IF(U227="",#N/A,U227),0)=0,"E","D"),IF($L227="DesignDataPlusQA","A",IF($L227="DesignData","B","C")))</f>
        <v>D</v>
      </c>
      <c r="BQ227" s="20" t="str">
        <f ca="1">OFFSET(Tab.Uncertainty.Levels!$A$1,MATCH(BQ$88,Tab.Uncertainty.Levels!$A:$A,0)-1,MATCH(BQ$87&amp;"_"&amp;BP227,Tab.Uncertainty.Levels!$1:$1,0)-1)</f>
        <v>Insulation available; no information about material</v>
      </c>
      <c r="BR227" s="97">
        <f ca="1">OFFSET(Tab.Uncertainty.Levels!$A$1,MATCH(BR$88,Tab.Uncertainty.Levels!$A:$A,0)-1,MATCH(BR$87&amp;"_"&amp;BP227,Tab.Uncertainty.Levels!$1:$1,0)-1)</f>
        <v>0.2</v>
      </c>
      <c r="BS227" s="32" t="str">
        <f>IF(L227="NoDataSource","D",IF(IFERROR(IF($T227="",#N/A,$T227),0)=0,IF(OR(IFERROR(IF($S227="",#N/A,$S227),0)&gt;0,$R227="Refurbish"),"D","E"),IF($L227="DesignDataPlusQA","A",IF($L227="DesignData","B","C"))))</f>
        <v>C</v>
      </c>
      <c r="BT227" s="20" t="str">
        <f ca="1">OFFSET(Tab.Uncertainty.Levels!$A$1,MATCH(BT$88,Tab.Uncertainty.Levels!$A:$A,0)-1,MATCH(BT$87&amp;"_"&amp;BS227,Tab.Uncertainty.Levels!$1:$1,0)-1)</f>
        <v>Insulation fraction determined by inspection onsite / record or statement of owner</v>
      </c>
      <c r="BU227" s="33">
        <f ca="1">OFFSET(Tab.Uncertainty.Levels!$A$1,MATCH(BU$88,Tab.Uncertainty.Levels!$A:$A,0)-1,MATCH(BU$87&amp;"_"&amp;BS227,Tab.Uncertainty.Levels!$1:$1,0)-1)</f>
        <v>0.2</v>
      </c>
      <c r="BV227" s="13">
        <f ca="1">IFERROR(MIN(BU227/AW227,1,(1-AW227)/AW227),0)</f>
        <v>0.4</v>
      </c>
      <c r="BW227" s="96">
        <f ca="1">ABS(1+(AW227*(1/(1+AN227/100/AP227*AG227)^2-1)))*BJ227*$AG227</f>
        <v>0.186881807683905</v>
      </c>
      <c r="BX227" s="96">
        <f ca="1">ABS(-AG227+1/(1/AG227+AN227/100/AP227))*BV227*AW227</f>
        <v>0.19307262569832401</v>
      </c>
      <c r="BY227" s="96">
        <f ca="1">ABS(-AW227*AP227/((AP227/AG227+AN227/100)^2))*(BO227*AN227/100)</f>
        <v>1.5729846134639992E-2</v>
      </c>
      <c r="BZ227" s="202">
        <f ca="1">ABS(AW227*AN227/100/(1/AG227*AP227+AN227/100)^2)*(BR227*AP227)</f>
        <v>1.8875815361567995E-2</v>
      </c>
      <c r="CA227" s="103">
        <f t="shared" ca="1" si="198"/>
        <v>0.26982507908315828</v>
      </c>
      <c r="CB227" s="37">
        <f t="shared" ca="1" si="176"/>
        <v>0.26052837675559964</v>
      </c>
      <c r="CC227" s="37">
        <f t="shared" ca="1" si="177"/>
        <v>0.26915887850467285</v>
      </c>
      <c r="CD227" s="37">
        <f t="shared" ca="1" si="178"/>
        <v>2.1928679580222418E-2</v>
      </c>
      <c r="CE227" s="37">
        <f t="shared" ca="1" si="179"/>
        <v>2.6314415496266907E-2</v>
      </c>
      <c r="CF227" s="13">
        <f t="shared" ca="1" si="180"/>
        <v>0.37615801523275183</v>
      </c>
      <c r="CG227" s="101">
        <f ca="1">AG227</f>
        <v>1.2</v>
      </c>
      <c r="CH227" s="101">
        <f>AW227</f>
        <v>0.5</v>
      </c>
      <c r="CI227" s="203">
        <f>IF(CH227&gt;0,AN227,0)</f>
        <v>12</v>
      </c>
      <c r="CJ227" s="102">
        <f ca="1">IF(AND(CH227&gt;0,CI227&gt;0),AP227,0)</f>
        <v>3.5000000000000003E-2</v>
      </c>
      <c r="CK227" s="102">
        <f ca="1">BB227</f>
        <v>0.71731843575418996</v>
      </c>
      <c r="CL227" s="37">
        <f t="shared" ca="1" si="199"/>
        <v>0.3</v>
      </c>
      <c r="CM227" s="37">
        <f t="shared" ca="1" si="200"/>
        <v>0.4</v>
      </c>
      <c r="CN227" s="37">
        <f t="shared" ca="1" si="201"/>
        <v>0.16666666666666666</v>
      </c>
      <c r="CO227" s="37">
        <f t="shared" ca="1" si="202"/>
        <v>0.2</v>
      </c>
      <c r="CP227" s="37">
        <f t="shared" ca="1" si="203"/>
        <v>0.37615801523275183</v>
      </c>
      <c r="CQ227" s="95">
        <f t="shared" ca="1" si="204"/>
        <v>0.36</v>
      </c>
      <c r="CR227" s="95">
        <f t="shared" ca="1" si="205"/>
        <v>0.2</v>
      </c>
      <c r="CS227" s="95">
        <f t="shared" ca="1" si="206"/>
        <v>2</v>
      </c>
      <c r="CT227" s="103">
        <f t="shared" ca="1" si="207"/>
        <v>7.000000000000001E-3</v>
      </c>
      <c r="CU227" s="95">
        <f t="shared" ca="1" si="208"/>
        <v>0.26982507908315828</v>
      </c>
      <c r="CV227" s="37">
        <f ca="1">$CB227^2/$CF227^2</f>
        <v>0.47969967763625954</v>
      </c>
      <c r="CW227" s="37">
        <f ca="1">$CD227^2/$CF227^2</f>
        <v>3.3984769049522907E-3</v>
      </c>
      <c r="CX227" s="37">
        <f ca="1">$CE227^2/$CF227^2</f>
        <v>4.893806743131301E-3</v>
      </c>
      <c r="CY227" s="37">
        <f ca="1">$CC227^2/$CF227^2</f>
        <v>0.51200803871565681</v>
      </c>
      <c r="DA227" s="98" t="s">
        <v>214</v>
      </c>
      <c r="DB227" s="36">
        <f ca="1">OFFSET($A$1,ROW(DB227)-1,MATCH(DA227,$1:$1,0)-1)</f>
        <v>12</v>
      </c>
      <c r="DC227" s="9">
        <f ca="1">BB227</f>
        <v>0.71731843575418996</v>
      </c>
      <c r="DD227" s="9">
        <f ca="1">$DC227+$CA227</f>
        <v>0.98714351483734819</v>
      </c>
      <c r="DE227" s="9">
        <f ca="1">$DC227-$CA227</f>
        <v>0.44749335667103168</v>
      </c>
      <c r="DF227" s="10">
        <f t="shared" ca="1" si="181"/>
        <v>0.37615801523275172</v>
      </c>
    </row>
    <row r="228" spans="1:110" s="8" customFormat="1" ht="32.4" customHeight="1">
      <c r="A228" s="206" t="s">
        <v>664</v>
      </c>
      <c r="B228" s="208" t="s">
        <v>2346</v>
      </c>
      <c r="C228" s="206" t="str">
        <f t="shared" si="186"/>
        <v>Parameter-Variation: d_Insulation = 16 cm</v>
      </c>
      <c r="D228" s="206"/>
      <c r="E228" s="206" t="s">
        <v>198</v>
      </c>
      <c r="F228" s="206" t="str">
        <f t="shared" si="209"/>
        <v>16 cm</v>
      </c>
      <c r="G228" s="206" t="s">
        <v>2170</v>
      </c>
      <c r="H228" s="206" t="s">
        <v>2171</v>
      </c>
      <c r="I228" s="156" t="s">
        <v>80</v>
      </c>
      <c r="J228" s="156" t="s">
        <v>134</v>
      </c>
      <c r="K228" s="156" t="s">
        <v>155</v>
      </c>
      <c r="L228" s="156" t="s">
        <v>66</v>
      </c>
      <c r="M228" s="156" t="s">
        <v>188</v>
      </c>
      <c r="N228" s="7">
        <v>1960</v>
      </c>
      <c r="O228" s="156">
        <v>1</v>
      </c>
      <c r="P228" s="156">
        <v>0</v>
      </c>
      <c r="Q228" s="156" t="s">
        <v>435</v>
      </c>
      <c r="R228" s="156" t="s">
        <v>58</v>
      </c>
      <c r="S228" s="19">
        <f t="shared" ref="S228:S234" si="210">S227+4</f>
        <v>16</v>
      </c>
      <c r="T228" s="19">
        <v>0.5</v>
      </c>
      <c r="U228" s="19">
        <v>2016</v>
      </c>
      <c r="V228" s="19" t="e">
        <v>#N/A</v>
      </c>
      <c r="W228" s="28" t="s">
        <v>59</v>
      </c>
      <c r="X228" s="19" t="e">
        <v>#N/A</v>
      </c>
      <c r="Y228" s="105">
        <f ca="1">IFERROR(OFFSET(Tab.Const.ConstrBorder!$A$1,MATCH(Q228,Tab.Const.ConstrBorder!$A:$A,0)-1,MATCH(Y$87,Tab.Const.ConstrBorder!$1:$1,0)-1),0)</f>
        <v>0</v>
      </c>
      <c r="Z228" s="18">
        <f t="shared" si="188"/>
        <v>1960</v>
      </c>
      <c r="AA228" s="17">
        <f>MATCH(Z228,Tab.Year.Period!$11:$11,1)-3</f>
        <v>5</v>
      </c>
      <c r="AB228" s="17">
        <f>MATCH(AB$88&amp;"."&amp;TEXT(AA228,"00"),Tab.U.Default!$A:$A,0)</f>
        <v>28</v>
      </c>
      <c r="AC228" s="105">
        <f ca="1">OFFSET(Tab.U.Default!$A$1,$AB228-1,MATCH("U_Class_"&amp;IF($J228="TopCeiling","UpperCeiling",$J228)&amp;"_"&amp;AC$87,Tab.U.Default!$1:$1,0)-1)</f>
        <v>1.2</v>
      </c>
      <c r="AD228" s="105">
        <f ca="1">OFFSET(Tab.U.Default!$A$1,$AB228-1,MATCH("U_Class_"&amp;IF($J228="TopCeiling","UpperCeiling",$J228)&amp;"_"&amp;AD$87,Tab.U.Default!$1:$1,0)-1)</f>
        <v>1.2</v>
      </c>
      <c r="AE228" s="105">
        <f ca="1">OFFSET(Tab.U.Default!$A$1,$AB228-1,MATCH("U_Class_"&amp;IF($J228="TopCeiling","UpperCeiling",$J228)&amp;"_"&amp;AE$87,Tab.U.Default!$1:$1,0)-1)</f>
        <v>0.8</v>
      </c>
      <c r="AF228" s="26">
        <f t="shared" ca="1" si="189"/>
        <v>1.2</v>
      </c>
      <c r="AG228" s="26">
        <f t="shared" ca="1" si="190"/>
        <v>1.2</v>
      </c>
      <c r="AH228" s="18" t="str">
        <f t="shared" si="168"/>
        <v>Refurbish</v>
      </c>
      <c r="AI228" s="18" t="str">
        <f t="shared" si="191"/>
        <v>Add</v>
      </c>
      <c r="AJ228" s="18">
        <f t="shared" si="192"/>
        <v>2016</v>
      </c>
      <c r="AK228" s="17">
        <f>MATCH(AJ228,Tab.Year.Period!$11:$11,1)-3</f>
        <v>12</v>
      </c>
      <c r="AL228" s="17">
        <f>MATCH(AL$88&amp;"."&amp;TEXT(AK228,"00"),Tab.Insulation.Default!$A:$A,0)</f>
        <v>23</v>
      </c>
      <c r="AM228" s="20" t="e">
        <f ca="1">IF(ISNA(IF(S228="",#N/A,S228)),OFFSET(Tab.Insulation.Default!$A$1,$AL228-1,MATCH(AM$87&amp;"_"&amp;$K228,Tab.Insulation.Default!$1:$1,0)-1),#N/A)</f>
        <v>#N/A</v>
      </c>
      <c r="AN228" s="27">
        <f t="shared" si="193"/>
        <v>16</v>
      </c>
      <c r="AO228" s="22">
        <f ca="1">IF(ISNA(IF(V228="",#N/A,V228)),OFFSET(Tab.Insulation.Default!$A$1,$AL228-1,MATCH(AO$87&amp;"_"&amp;$K228,Tab.Insulation.Default!$1:$1,0)-1),#N/A)</f>
        <v>3.5000000000000003E-2</v>
      </c>
      <c r="AP228" s="23">
        <f t="shared" ca="1" si="194"/>
        <v>3.5000000000000003E-2</v>
      </c>
      <c r="AQ228" s="29" t="str">
        <f t="shared" si="169"/>
        <v>Gen.Refurbished.12</v>
      </c>
      <c r="AR228" s="17">
        <f>MATCH(AR$88&amp;"."&amp;AQ228,Tab.Measure.f.Default!$A:$A,0)</f>
        <v>23</v>
      </c>
      <c r="AS228" s="21">
        <f ca="1">OFFSET(Tab.Measure.f.Default!$A$1,AR228-1,MATCH(AS$87&amp;"_"&amp;$J228,Tab.Measure.f.Default!$1:$1,0)-1)</f>
        <v>0.75</v>
      </c>
      <c r="AT228" s="29" t="str">
        <f t="shared" si="170"/>
        <v>MUH.NA.05</v>
      </c>
      <c r="AU228" s="17">
        <f>MATCH(AU$88&amp;"."&amp;AT228,Tab.Measure.f.Default!$A:$A,0)</f>
        <v>40</v>
      </c>
      <c r="AV228" s="21">
        <f ca="1">OFFSET(Tab.Measure.f.Default!$A$1,AU228-1,MATCH(AV$87&amp;"_"&amp;$J228,Tab.Measure.f.Default!$1:$1,0)-1)</f>
        <v>0.37</v>
      </c>
      <c r="AW228" s="30">
        <f t="shared" si="195"/>
        <v>0.5</v>
      </c>
      <c r="AX228" s="9">
        <f t="shared" ca="1" si="171"/>
        <v>0.83333333333333337</v>
      </c>
      <c r="AY228" s="9">
        <f t="shared" ca="1" si="172"/>
        <v>4.5714285714285712</v>
      </c>
      <c r="AZ228" s="9">
        <f t="shared" ca="1" si="196"/>
        <v>5.4047619047619042</v>
      </c>
      <c r="BA228" s="9">
        <f t="shared" ca="1" si="197"/>
        <v>0.18502202643171808</v>
      </c>
      <c r="BB228" s="9">
        <f t="shared" ca="1" si="173"/>
        <v>0.69251101321585906</v>
      </c>
      <c r="BC228" s="32" t="str">
        <f t="shared" si="174"/>
        <v>D</v>
      </c>
      <c r="BD228" s="20" t="str">
        <f ca="1">OFFSET(Tab.Uncertainty.Levels!$A$1,MATCH(BD$88,Tab.Uncertainty.Levels!$A:$A,0)-1,MATCH(BD$87&amp;"_"&amp;BC228,Tab.Uncertainty.Levels!$1:$1,0)-1)</f>
        <v>Use of default values; building constructed until 1983</v>
      </c>
      <c r="BE228" s="24">
        <f ca="1">OFFSET(Tab.Uncertainty.Levels!$A$1,MATCH(BE$88,Tab.Uncertainty.Levels!$A:$A,0)-1,MATCH(BE$87&amp;"_"&amp;BC228,Tab.Uncertainty.Levels!$1:$1,0)-1)</f>
        <v>0.3</v>
      </c>
      <c r="BF228" s="32" t="str">
        <f t="shared" si="175"/>
        <v>-</v>
      </c>
      <c r="BG228" s="20" t="e">
        <f ca="1">OFFSET(Tab.Uncertainty.Levels!$A$1,MATCH(BG$88,Tab.Uncertainty.Levels!$A:$A,0)-1,MATCH(BG$87&amp;"_"&amp;BF228,Tab.Uncertainty.Levels!$1:$1,0)-1)</f>
        <v>#N/A</v>
      </c>
      <c r="BH228" s="24" t="e">
        <f ca="1">OFFSET(Tab.Uncertainty.Levels!$A$1,MATCH(BH$88,Tab.Uncertainty.Levels!$A:$A,0)-1,MATCH(BH$87&amp;"_"&amp;BF228,Tab.Uncertainty.Levels!$1:$1,0)-1)</f>
        <v>#N/A</v>
      </c>
      <c r="BI228" s="32" t="str">
        <f t="shared" si="137"/>
        <v>D</v>
      </c>
      <c r="BJ228" s="13">
        <f ca="1">IF(BF228="-",BE228,BH228)</f>
        <v>0.3</v>
      </c>
      <c r="BK228" s="32" t="str">
        <f>IF(OR($L228="NoDataSource",IFERROR(IF($S228="",#N/A,$S228),0)=0),IF(IFERROR(IF(U228="",#N/A,U228),0)=0,"E","D"),IF($L228="DesignDataPlusQA","A",IF($L228="DesignData","B","C")))</f>
        <v>C</v>
      </c>
      <c r="BL228" s="20" t="str">
        <f ca="1">OFFSET(Tab.Uncertainty.Levels!$A$1,MATCH(BL$88,Tab.Uncertainty.Levels!$A:$A,0)-1,MATCH(BL$87&amp;"_"&amp;BK228,Tab.Uncertainty.Levels!$1:$1,0)-1)</f>
        <v>Insulation thickness determined by inspection onsite / record or statement of owner</v>
      </c>
      <c r="BM228" s="24">
        <f ca="1">OFFSET(Tab.Uncertainty.Levels!$A$1,MATCH(BM$88,Tab.Uncertainty.Levels!$A:$A,0)-1,MATCH(BM$87&amp;"_"&amp;BK228,Tab.Uncertainty.Levels!$1:$1,0)-1)</f>
        <v>0.25</v>
      </c>
      <c r="BN228" s="34">
        <f ca="1">OFFSET(Tab.Uncertainty.Levels!$A$1,MATCH(BN$88,Tab.Uncertainty.Levels!$A:$A,0)-1,MATCH(BN$87&amp;"_"&amp;BK228,Tab.Uncertainty.Levels!$1:$1,0)-1)</f>
        <v>2</v>
      </c>
      <c r="BO228" s="13">
        <f ca="1">IFERROR(MIN(BM228,BN228/AN228),0)</f>
        <v>0.125</v>
      </c>
      <c r="BP228" s="32" t="str">
        <f>IF(OR($L228="NoDataSource",IFERROR(IF($V228="",#N/A,$V228),0)=0),IF(IFERROR(IF(U228="",#N/A,U228),0)=0,"E","D"),IF($L228="DesignDataPlusQA","A",IF($L228="DesignData","B","C")))</f>
        <v>D</v>
      </c>
      <c r="BQ228" s="20" t="str">
        <f ca="1">OFFSET(Tab.Uncertainty.Levels!$A$1,MATCH(BQ$88,Tab.Uncertainty.Levels!$A:$A,0)-1,MATCH(BQ$87&amp;"_"&amp;BP228,Tab.Uncertainty.Levels!$1:$1,0)-1)</f>
        <v>Insulation available; no information about material</v>
      </c>
      <c r="BR228" s="97">
        <f ca="1">OFFSET(Tab.Uncertainty.Levels!$A$1,MATCH(BR$88,Tab.Uncertainty.Levels!$A:$A,0)-1,MATCH(BR$87&amp;"_"&amp;BP228,Tab.Uncertainty.Levels!$1:$1,0)-1)</f>
        <v>0.2</v>
      </c>
      <c r="BS228" s="32" t="str">
        <f>IF(L228="NoDataSource","D",IF(IFERROR(IF($T228="",#N/A,$T228),0)=0,IF(OR(IFERROR(IF($S228="",#N/A,$S228),0)&gt;0,$R228="Refurbish"),"D","E"),IF($L228="DesignDataPlusQA","A",IF($L228="DesignData","B","C"))))</f>
        <v>C</v>
      </c>
      <c r="BT228" s="20" t="str">
        <f ca="1">OFFSET(Tab.Uncertainty.Levels!$A$1,MATCH(BT$88,Tab.Uncertainty.Levels!$A:$A,0)-1,MATCH(BT$87&amp;"_"&amp;BS228,Tab.Uncertainty.Levels!$1:$1,0)-1)</f>
        <v>Insulation fraction determined by inspection onsite / record or statement of owner</v>
      </c>
      <c r="BU228" s="33">
        <f ca="1">OFFSET(Tab.Uncertainty.Levels!$A$1,MATCH(BU$88,Tab.Uncertainty.Levels!$A:$A,0)-1,MATCH(BU$87&amp;"_"&amp;BS228,Tab.Uncertainty.Levels!$1:$1,0)-1)</f>
        <v>0.2</v>
      </c>
      <c r="BV228" s="13">
        <f ca="1">IFERROR(MIN(BU228/AW228,1,(1-AW228)/AW228),0)</f>
        <v>0.4</v>
      </c>
      <c r="BW228" s="96">
        <f ca="1">ABS(1+(AW228*(1/(1+AN228/100/AP228*AG228)^2-1)))*BJ228*$AG228</f>
        <v>0.18427914378311241</v>
      </c>
      <c r="BX228" s="96">
        <f ca="1">ABS(-AG228+1/(1/AG228+AN228/100/AP228))*BV228*AW228</f>
        <v>0.20299559471365636</v>
      </c>
      <c r="BY228" s="96">
        <f ca="1">ABS(-AW228*AP228/((AP228/AG228+AN228/100)^2))*(BO228*AN228/100)</f>
        <v>9.7809000756855363E-3</v>
      </c>
      <c r="BZ228" s="202">
        <f ca="1">ABS(AW228*AN228/100/(1/AG228*AP228+AN228/100)^2)*(BR228*AP228)</f>
        <v>1.5649440121096859E-2</v>
      </c>
      <c r="CA228" s="103">
        <f t="shared" ca="1" si="198"/>
        <v>0.27478461617962235</v>
      </c>
      <c r="CB228" s="37">
        <f t="shared" ca="1" si="176"/>
        <v>0.26610283485220432</v>
      </c>
      <c r="CC228" s="37">
        <f t="shared" ca="1" si="177"/>
        <v>0.29312977099236637</v>
      </c>
      <c r="CD228" s="37">
        <f t="shared" ca="1" si="178"/>
        <v>1.4123818811581531E-2</v>
      </c>
      <c r="CE228" s="37">
        <f t="shared" ca="1" si="179"/>
        <v>2.2598110098530449E-2</v>
      </c>
      <c r="CF228" s="13">
        <f t="shared" ca="1" si="180"/>
        <v>0.39679457934334783</v>
      </c>
      <c r="CG228" s="101">
        <f ca="1">AG228</f>
        <v>1.2</v>
      </c>
      <c r="CH228" s="101">
        <f>AW228</f>
        <v>0.5</v>
      </c>
      <c r="CI228" s="203">
        <f>IF(CH228&gt;0,AN228,0)</f>
        <v>16</v>
      </c>
      <c r="CJ228" s="102">
        <f ca="1">IF(AND(CH228&gt;0,CI228&gt;0),AP228,0)</f>
        <v>3.5000000000000003E-2</v>
      </c>
      <c r="CK228" s="102">
        <f ca="1">BB228</f>
        <v>0.69251101321585906</v>
      </c>
      <c r="CL228" s="37">
        <f t="shared" ca="1" si="199"/>
        <v>0.3</v>
      </c>
      <c r="CM228" s="37">
        <f t="shared" ca="1" si="200"/>
        <v>0.4</v>
      </c>
      <c r="CN228" s="37">
        <f t="shared" ca="1" si="201"/>
        <v>0.125</v>
      </c>
      <c r="CO228" s="37">
        <f t="shared" ca="1" si="202"/>
        <v>0.2</v>
      </c>
      <c r="CP228" s="37">
        <f t="shared" ca="1" si="203"/>
        <v>0.39679457934334783</v>
      </c>
      <c r="CQ228" s="95">
        <f t="shared" ca="1" si="204"/>
        <v>0.36</v>
      </c>
      <c r="CR228" s="95">
        <f t="shared" ca="1" si="205"/>
        <v>0.2</v>
      </c>
      <c r="CS228" s="95">
        <f t="shared" ca="1" si="206"/>
        <v>2</v>
      </c>
      <c r="CT228" s="103">
        <f t="shared" ca="1" si="207"/>
        <v>7.000000000000001E-3</v>
      </c>
      <c r="CU228" s="95">
        <f t="shared" ca="1" si="208"/>
        <v>0.27478461617962241</v>
      </c>
      <c r="CV228" s="37">
        <f ca="1">$CB228^2/$CF228^2</f>
        <v>0.44974624005930447</v>
      </c>
      <c r="CW228" s="37">
        <f ca="1">$CD228^2/$CF228^2</f>
        <v>1.2669889112904239E-3</v>
      </c>
      <c r="CX228" s="37">
        <f ca="1">$CE228^2/$CF228^2</f>
        <v>3.2434916129034852E-3</v>
      </c>
      <c r="CY228" s="37">
        <f ca="1">$CC228^2/$CF228^2</f>
        <v>0.54574327941650169</v>
      </c>
      <c r="DA228" s="98" t="s">
        <v>214</v>
      </c>
      <c r="DB228" s="36">
        <f ca="1">OFFSET($A$1,ROW(DB228)-1,MATCH(DA228,$1:$1,0)-1)</f>
        <v>16</v>
      </c>
      <c r="DC228" s="9">
        <f ca="1">BB228</f>
        <v>0.69251101321585906</v>
      </c>
      <c r="DD228" s="9">
        <f ca="1">$DC228+$CA228</f>
        <v>0.96729562939548142</v>
      </c>
      <c r="DE228" s="9">
        <f ca="1">$DC228-$CA228</f>
        <v>0.41772639703623671</v>
      </c>
      <c r="DF228" s="10">
        <f t="shared" ca="1" si="181"/>
        <v>0.39679457934334778</v>
      </c>
    </row>
    <row r="229" spans="1:110" s="8" customFormat="1" ht="32.4" customHeight="1">
      <c r="A229" s="206" t="s">
        <v>665</v>
      </c>
      <c r="B229" s="208" t="s">
        <v>2346</v>
      </c>
      <c r="C229" s="206" t="str">
        <f t="shared" si="186"/>
        <v>Parameter-Variation: d_Insulation = 20 cm</v>
      </c>
      <c r="D229" s="206"/>
      <c r="E229" s="206" t="s">
        <v>198</v>
      </c>
      <c r="F229" s="206" t="str">
        <f t="shared" si="209"/>
        <v>20 cm</v>
      </c>
      <c r="G229" s="206" t="s">
        <v>2170</v>
      </c>
      <c r="H229" s="206" t="s">
        <v>2171</v>
      </c>
      <c r="I229" s="156" t="s">
        <v>80</v>
      </c>
      <c r="J229" s="156" t="s">
        <v>134</v>
      </c>
      <c r="K229" s="156" t="s">
        <v>155</v>
      </c>
      <c r="L229" s="156" t="s">
        <v>66</v>
      </c>
      <c r="M229" s="156" t="s">
        <v>188</v>
      </c>
      <c r="N229" s="7">
        <v>1960</v>
      </c>
      <c r="O229" s="156">
        <v>1</v>
      </c>
      <c r="P229" s="156">
        <v>0</v>
      </c>
      <c r="Q229" s="156" t="s">
        <v>435</v>
      </c>
      <c r="R229" s="156" t="s">
        <v>58</v>
      </c>
      <c r="S229" s="19">
        <f t="shared" si="210"/>
        <v>20</v>
      </c>
      <c r="T229" s="19">
        <v>0.5</v>
      </c>
      <c r="U229" s="19">
        <v>2016</v>
      </c>
      <c r="V229" s="19" t="e">
        <v>#N/A</v>
      </c>
      <c r="W229" s="28" t="s">
        <v>59</v>
      </c>
      <c r="X229" s="19" t="e">
        <v>#N/A</v>
      </c>
      <c r="Y229" s="105">
        <f ca="1">IFERROR(OFFSET(Tab.Const.ConstrBorder!$A$1,MATCH(Q229,Tab.Const.ConstrBorder!$A:$A,0)-1,MATCH(Y$87,Tab.Const.ConstrBorder!$1:$1,0)-1),0)</f>
        <v>0</v>
      </c>
      <c r="Z229" s="18">
        <f t="shared" si="188"/>
        <v>1960</v>
      </c>
      <c r="AA229" s="17">
        <f>MATCH(Z229,Tab.Year.Period!$11:$11,1)-3</f>
        <v>5</v>
      </c>
      <c r="AB229" s="17">
        <f>MATCH(AB$88&amp;"."&amp;TEXT(AA229,"00"),Tab.U.Default!$A:$A,0)</f>
        <v>28</v>
      </c>
      <c r="AC229" s="105">
        <f ca="1">OFFSET(Tab.U.Default!$A$1,$AB229-1,MATCH("U_Class_"&amp;IF($J229="TopCeiling","UpperCeiling",$J229)&amp;"_"&amp;AC$87,Tab.U.Default!$1:$1,0)-1)</f>
        <v>1.2</v>
      </c>
      <c r="AD229" s="105">
        <f ca="1">OFFSET(Tab.U.Default!$A$1,$AB229-1,MATCH("U_Class_"&amp;IF($J229="TopCeiling","UpperCeiling",$J229)&amp;"_"&amp;AD$87,Tab.U.Default!$1:$1,0)-1)</f>
        <v>1.2</v>
      </c>
      <c r="AE229" s="105">
        <f ca="1">OFFSET(Tab.U.Default!$A$1,$AB229-1,MATCH("U_Class_"&amp;IF($J229="TopCeiling","UpperCeiling",$J229)&amp;"_"&amp;AE$87,Tab.U.Default!$1:$1,0)-1)</f>
        <v>0.8</v>
      </c>
      <c r="AF229" s="26">
        <f t="shared" ca="1" si="189"/>
        <v>1.2</v>
      </c>
      <c r="AG229" s="26">
        <f t="shared" ca="1" si="190"/>
        <v>1.2</v>
      </c>
      <c r="AH229" s="18" t="str">
        <f t="shared" ref="AH229:AH260" si="211">IF(R229&lt;&gt;"_NA_",R229,IF(Z229&lt;AH$88,"Refurbish","Original"))</f>
        <v>Refurbish</v>
      </c>
      <c r="AI229" s="18" t="str">
        <f t="shared" si="191"/>
        <v>Add</v>
      </c>
      <c r="AJ229" s="18">
        <f t="shared" si="192"/>
        <v>2016</v>
      </c>
      <c r="AK229" s="17">
        <f>MATCH(AJ229,Tab.Year.Period!$11:$11,1)-3</f>
        <v>12</v>
      </c>
      <c r="AL229" s="17">
        <f>MATCH(AL$88&amp;"."&amp;TEXT(AK229,"00"),Tab.Insulation.Default!$A:$A,0)</f>
        <v>23</v>
      </c>
      <c r="AM229" s="20" t="e">
        <f ca="1">IF(ISNA(IF(S229="",#N/A,S229)),OFFSET(Tab.Insulation.Default!$A$1,$AL229-1,MATCH(AM$87&amp;"_"&amp;$K229,Tab.Insulation.Default!$1:$1,0)-1),#N/A)</f>
        <v>#N/A</v>
      </c>
      <c r="AN229" s="27">
        <f t="shared" si="193"/>
        <v>20</v>
      </c>
      <c r="AO229" s="22">
        <f ca="1">IF(ISNA(IF(V229="",#N/A,V229)),OFFSET(Tab.Insulation.Default!$A$1,$AL229-1,MATCH(AO$87&amp;"_"&amp;$K229,Tab.Insulation.Default!$1:$1,0)-1),#N/A)</f>
        <v>3.5000000000000003E-2</v>
      </c>
      <c r="AP229" s="23">
        <f t="shared" ca="1" si="194"/>
        <v>3.5000000000000003E-2</v>
      </c>
      <c r="AQ229" s="29" t="str">
        <f t="shared" ref="AQ229:AQ260" si="212">"Gen.Refurbished."&amp;TEXT(AK229,"00")</f>
        <v>Gen.Refurbished.12</v>
      </c>
      <c r="AR229" s="17">
        <f>MATCH(AR$88&amp;"."&amp;AQ229,Tab.Measure.f.Default!$A:$A,0)</f>
        <v>23</v>
      </c>
      <c r="AS229" s="21">
        <f ca="1">OFFSET(Tab.Measure.f.Default!$A$1,AR229-1,MATCH(AS$87&amp;"_"&amp;$J229,Tab.Measure.f.Default!$1:$1,0)-1)</f>
        <v>0.75</v>
      </c>
      <c r="AT229" s="29" t="str">
        <f t="shared" ref="AT229:AT260" si="213">I229&amp;".NA."&amp;TEXT(AA229,"00")</f>
        <v>MUH.NA.05</v>
      </c>
      <c r="AU229" s="17">
        <f>MATCH(AU$88&amp;"."&amp;AT229,Tab.Measure.f.Default!$A:$A,0)</f>
        <v>40</v>
      </c>
      <c r="AV229" s="21">
        <f ca="1">OFFSET(Tab.Measure.f.Default!$A$1,AU229-1,MATCH(AV$87&amp;"_"&amp;$J229,Tab.Measure.f.Default!$1:$1,0)-1)</f>
        <v>0.37</v>
      </c>
      <c r="AW229" s="30">
        <f t="shared" si="195"/>
        <v>0.5</v>
      </c>
      <c r="AX229" s="9">
        <f t="shared" ref="AX229:AX260" ca="1" si="214">1/AG229</f>
        <v>0.83333333333333337</v>
      </c>
      <c r="AY229" s="9">
        <f t="shared" ref="AY229:AY260" ca="1" si="215">IF(AW229&gt;0,AN229/100/AP229,0)</f>
        <v>5.7142857142857144</v>
      </c>
      <c r="AZ229" s="9">
        <f t="shared" ca="1" si="196"/>
        <v>6.5476190476190474</v>
      </c>
      <c r="BA229" s="9">
        <f t="shared" ca="1" si="197"/>
        <v>0.15272727272727274</v>
      </c>
      <c r="BB229" s="9">
        <f t="shared" ref="BB229:BB260" ca="1" si="216">(1-AW229)*AG229+AW229*BA229</f>
        <v>0.67636363636363639</v>
      </c>
      <c r="BC229" s="32" t="str">
        <f t="shared" ref="BC229:BC260" si="217">IF(IFERROR(IF(N229="",#N/A,N229),0)=0,"E",IF(N229&gt;=1995,"B",IF(N229&gt;=1983,"C","D")))</f>
        <v>D</v>
      </c>
      <c r="BD229" s="20" t="str">
        <f ca="1">OFFSET(Tab.Uncertainty.Levels!$A$1,MATCH(BD$88,Tab.Uncertainty.Levels!$A:$A,0)-1,MATCH(BD$87&amp;"_"&amp;BC229,Tab.Uncertainty.Levels!$1:$1,0)-1)</f>
        <v>Use of default values; building constructed until 1983</v>
      </c>
      <c r="BE229" s="24">
        <f ca="1">OFFSET(Tab.Uncertainty.Levels!$A$1,MATCH(BE$88,Tab.Uncertainty.Levels!$A:$A,0)-1,MATCH(BE$87&amp;"_"&amp;BC229,Tab.Uncertainty.Levels!$1:$1,0)-1)</f>
        <v>0.3</v>
      </c>
      <c r="BF229" s="32" t="str">
        <f t="shared" ref="BF229:BF260" si="218">IF(AND(NOT(M229="Manual"),ISNA(IF($X229="",#N/A,$X229))),"-",IF($L229="DesignDataPlusQA","A",IF($L229="DesignData","B",IF($L229="InspectionOnSite","C",IF($L229="NoDataSource","E","D")))))</f>
        <v>-</v>
      </c>
      <c r="BG229" s="20" t="e">
        <f ca="1">OFFSET(Tab.Uncertainty.Levels!$A$1,MATCH(BG$88,Tab.Uncertainty.Levels!$A:$A,0)-1,MATCH(BG$87&amp;"_"&amp;BF229,Tab.Uncertainty.Levels!$1:$1,0)-1)</f>
        <v>#N/A</v>
      </c>
      <c r="BH229" s="24" t="e">
        <f ca="1">OFFSET(Tab.Uncertainty.Levels!$A$1,MATCH(BH$88,Tab.Uncertainty.Levels!$A:$A,0)-1,MATCH(BH$87&amp;"_"&amp;BF229,Tab.Uncertainty.Levels!$1:$1,0)-1)</f>
        <v>#N/A</v>
      </c>
      <c r="BI229" s="32" t="str">
        <f t="shared" si="137"/>
        <v>D</v>
      </c>
      <c r="BJ229" s="13">
        <f ca="1">IF(BF229="-",BE229,BH229)</f>
        <v>0.3</v>
      </c>
      <c r="BK229" s="32" t="str">
        <f>IF(OR($L229="NoDataSource",IFERROR(IF($S229="",#N/A,$S229),0)=0),IF(IFERROR(IF(U229="",#N/A,U229),0)=0,"E","D"),IF($L229="DesignDataPlusQA","A",IF($L229="DesignData","B","C")))</f>
        <v>C</v>
      </c>
      <c r="BL229" s="20" t="str">
        <f ca="1">OFFSET(Tab.Uncertainty.Levels!$A$1,MATCH(BL$88,Tab.Uncertainty.Levels!$A:$A,0)-1,MATCH(BL$87&amp;"_"&amp;BK229,Tab.Uncertainty.Levels!$1:$1,0)-1)</f>
        <v>Insulation thickness determined by inspection onsite / record or statement of owner</v>
      </c>
      <c r="BM229" s="24">
        <f ca="1">OFFSET(Tab.Uncertainty.Levels!$A$1,MATCH(BM$88,Tab.Uncertainty.Levels!$A:$A,0)-1,MATCH(BM$87&amp;"_"&amp;BK229,Tab.Uncertainty.Levels!$1:$1,0)-1)</f>
        <v>0.25</v>
      </c>
      <c r="BN229" s="34">
        <f ca="1">OFFSET(Tab.Uncertainty.Levels!$A$1,MATCH(BN$88,Tab.Uncertainty.Levels!$A:$A,0)-1,MATCH(BN$87&amp;"_"&amp;BK229,Tab.Uncertainty.Levels!$1:$1,0)-1)</f>
        <v>2</v>
      </c>
      <c r="BO229" s="13">
        <f ca="1">IFERROR(MIN(BM229,BN229/AN229),0)</f>
        <v>0.1</v>
      </c>
      <c r="BP229" s="32" t="str">
        <f>IF(OR($L229="NoDataSource",IFERROR(IF($V229="",#N/A,$V229),0)=0),IF(IFERROR(IF(U229="",#N/A,U229),0)=0,"E","D"),IF($L229="DesignDataPlusQA","A",IF($L229="DesignData","B","C")))</f>
        <v>D</v>
      </c>
      <c r="BQ229" s="20" t="str">
        <f ca="1">OFFSET(Tab.Uncertainty.Levels!$A$1,MATCH(BQ$88,Tab.Uncertainty.Levels!$A:$A,0)-1,MATCH(BQ$87&amp;"_"&amp;BP229,Tab.Uncertainty.Levels!$1:$1,0)-1)</f>
        <v>Insulation available; no information about material</v>
      </c>
      <c r="BR229" s="97">
        <f ca="1">OFFSET(Tab.Uncertainty.Levels!$A$1,MATCH(BR$88,Tab.Uncertainty.Levels!$A:$A,0)-1,MATCH(BR$87&amp;"_"&amp;BP229,Tab.Uncertainty.Levels!$1:$1,0)-1)</f>
        <v>0.2</v>
      </c>
      <c r="BS229" s="32" t="str">
        <f>IF(L229="NoDataSource","D",IF(IFERROR(IF($T229="",#N/A,$T229),0)=0,IF(OR(IFERROR(IF($S229="",#N/A,$S229),0)&gt;0,$R229="Refurbish"),"D","E"),IF($L229="DesignDataPlusQA","A",IF($L229="DesignData","B","C"))))</f>
        <v>C</v>
      </c>
      <c r="BT229" s="20" t="str">
        <f ca="1">OFFSET(Tab.Uncertainty.Levels!$A$1,MATCH(BT$88,Tab.Uncertainty.Levels!$A:$A,0)-1,MATCH(BT$87&amp;"_"&amp;BS229,Tab.Uncertainty.Levels!$1:$1,0)-1)</f>
        <v>Insulation fraction determined by inspection onsite / record or statement of owner</v>
      </c>
      <c r="BU229" s="33">
        <f ca="1">OFFSET(Tab.Uncertainty.Levels!$A$1,MATCH(BU$88,Tab.Uncertainty.Levels!$A:$A,0)-1,MATCH(BU$87&amp;"_"&amp;BS229,Tab.Uncertainty.Levels!$1:$1,0)-1)</f>
        <v>0.2</v>
      </c>
      <c r="BV229" s="13">
        <f ca="1">IFERROR(MIN(BU229/AW229,1,(1-AW229)/AW229),0)</f>
        <v>0.4</v>
      </c>
      <c r="BW229" s="96">
        <f ca="1">ABS(1+(AW229*(1/(1+AN229/100/AP229*AG229)^2-1)))*BJ229*$AG229</f>
        <v>0.18291570247933883</v>
      </c>
      <c r="BX229" s="96">
        <f ca="1">ABS(-AG229+1/(1/AG229+AN229/100/AP229))*BV229*AW229</f>
        <v>0.20945454545454545</v>
      </c>
      <c r="BY229" s="96">
        <f ca="1">ABS(-AW229*AP229/((AP229/AG229+AN229/100)^2))*(BO229*AN229/100)</f>
        <v>6.6644628099173557E-3</v>
      </c>
      <c r="BZ229" s="202">
        <f ca="1">ABS(AW229*AN229/100/(1/AG229*AP229+AN229/100)^2)*(BR229*AP229)</f>
        <v>1.3328925619834711E-2</v>
      </c>
      <c r="CA229" s="103">
        <f t="shared" ca="1" si="198"/>
        <v>0.2784805848668882</v>
      </c>
      <c r="CB229" s="37">
        <f t="shared" ref="CB229:CB260" ca="1" si="219">BW229/$BB229</f>
        <v>0.27043988269794716</v>
      </c>
      <c r="CC229" s="37">
        <f t="shared" ref="CC229:CC260" ca="1" si="220">BX229/$BB229</f>
        <v>0.30967741935483867</v>
      </c>
      <c r="CD229" s="37">
        <f t="shared" ref="CD229:CD260" ca="1" si="221">BY229/$BB229</f>
        <v>9.8533724340175953E-3</v>
      </c>
      <c r="CE229" s="37">
        <f t="shared" ref="CE229:CE260" ca="1" si="222">BZ229/$BB229</f>
        <v>1.9706744868035191E-2</v>
      </c>
      <c r="CF229" s="13">
        <f t="shared" ref="CF229:CF260" ca="1" si="223">SQRT(SUMPRODUCT(CB229:CE229,CB229:CE229))</f>
        <v>0.4117320475182486</v>
      </c>
      <c r="CG229" s="101">
        <f ca="1">AG229</f>
        <v>1.2</v>
      </c>
      <c r="CH229" s="101">
        <f>AW229</f>
        <v>0.5</v>
      </c>
      <c r="CI229" s="203">
        <f>IF(CH229&gt;0,AN229,0)</f>
        <v>20</v>
      </c>
      <c r="CJ229" s="102">
        <f ca="1">IF(AND(CH229&gt;0,CI229&gt;0),AP229,0)</f>
        <v>3.5000000000000003E-2</v>
      </c>
      <c r="CK229" s="102">
        <f ca="1">BB229</f>
        <v>0.67636363636363639</v>
      </c>
      <c r="CL229" s="37">
        <f t="shared" ca="1" si="199"/>
        <v>0.3</v>
      </c>
      <c r="CM229" s="37">
        <f t="shared" ca="1" si="200"/>
        <v>0.4</v>
      </c>
      <c r="CN229" s="37">
        <f t="shared" ca="1" si="201"/>
        <v>0.1</v>
      </c>
      <c r="CO229" s="37">
        <f t="shared" ca="1" si="202"/>
        <v>0.2</v>
      </c>
      <c r="CP229" s="37">
        <f t="shared" ca="1" si="203"/>
        <v>0.4117320475182486</v>
      </c>
      <c r="CQ229" s="95">
        <f t="shared" ca="1" si="204"/>
        <v>0.36</v>
      </c>
      <c r="CR229" s="95">
        <f t="shared" ca="1" si="205"/>
        <v>0.2</v>
      </c>
      <c r="CS229" s="95">
        <f t="shared" ca="1" si="206"/>
        <v>2</v>
      </c>
      <c r="CT229" s="103">
        <f t="shared" ca="1" si="207"/>
        <v>7.000000000000001E-3</v>
      </c>
      <c r="CU229" s="95">
        <f t="shared" ca="1" si="208"/>
        <v>0.27848058486688815</v>
      </c>
      <c r="CV229" s="37">
        <f ca="1">$CB229^2/$CF229^2</f>
        <v>0.43143178096331591</v>
      </c>
      <c r="CW229" s="37">
        <f ca="1">$CD229^2/$CF229^2</f>
        <v>5.7271749887547591E-4</v>
      </c>
      <c r="CX229" s="37">
        <f ca="1">$CE229^2/$CF229^2</f>
        <v>2.2908699955019036E-3</v>
      </c>
      <c r="CY229" s="37">
        <f ca="1">$CC229^2/$CF229^2</f>
        <v>0.56570463154230666</v>
      </c>
      <c r="DA229" s="98" t="s">
        <v>214</v>
      </c>
      <c r="DB229" s="36">
        <f ca="1">OFFSET($A$1,ROW(DB229)-1,MATCH(DA229,$1:$1,0)-1)</f>
        <v>20</v>
      </c>
      <c r="DC229" s="9">
        <f ca="1">BB229</f>
        <v>0.67636363636363639</v>
      </c>
      <c r="DD229" s="9">
        <f ca="1">$DC229+$CA229</f>
        <v>0.95484422123052459</v>
      </c>
      <c r="DE229" s="9">
        <f ca="1">$DC229-$CA229</f>
        <v>0.39788305149674819</v>
      </c>
      <c r="DF229" s="10">
        <f t="shared" ca="1" si="181"/>
        <v>0.41173204751824866</v>
      </c>
    </row>
    <row r="230" spans="1:110" s="8" customFormat="1" ht="32.4" customHeight="1">
      <c r="A230" s="206" t="s">
        <v>666</v>
      </c>
      <c r="B230" s="208" t="s">
        <v>2346</v>
      </c>
      <c r="C230" s="206" t="str">
        <f t="shared" si="186"/>
        <v>Parameter-Variation: d_Insulation = 24 cm</v>
      </c>
      <c r="D230" s="206"/>
      <c r="E230" s="206" t="s">
        <v>198</v>
      </c>
      <c r="F230" s="206" t="str">
        <f t="shared" si="209"/>
        <v>24 cm</v>
      </c>
      <c r="G230" s="206" t="s">
        <v>2170</v>
      </c>
      <c r="H230" s="206" t="s">
        <v>2171</v>
      </c>
      <c r="I230" s="156" t="s">
        <v>80</v>
      </c>
      <c r="J230" s="156" t="s">
        <v>134</v>
      </c>
      <c r="K230" s="156" t="s">
        <v>155</v>
      </c>
      <c r="L230" s="156" t="s">
        <v>66</v>
      </c>
      <c r="M230" s="156" t="s">
        <v>188</v>
      </c>
      <c r="N230" s="7">
        <v>1960</v>
      </c>
      <c r="O230" s="156">
        <v>1</v>
      </c>
      <c r="P230" s="156">
        <v>0</v>
      </c>
      <c r="Q230" s="156" t="s">
        <v>435</v>
      </c>
      <c r="R230" s="156" t="s">
        <v>58</v>
      </c>
      <c r="S230" s="19">
        <f t="shared" si="210"/>
        <v>24</v>
      </c>
      <c r="T230" s="19">
        <v>0.5</v>
      </c>
      <c r="U230" s="19">
        <v>2016</v>
      </c>
      <c r="V230" s="19" t="e">
        <v>#N/A</v>
      </c>
      <c r="W230" s="28" t="s">
        <v>59</v>
      </c>
      <c r="X230" s="19" t="e">
        <v>#N/A</v>
      </c>
      <c r="Y230" s="105">
        <f ca="1">IFERROR(OFFSET(Tab.Const.ConstrBorder!$A$1,MATCH(Q230,Tab.Const.ConstrBorder!$A:$A,0)-1,MATCH(Y$87,Tab.Const.ConstrBorder!$1:$1,0)-1),0)</f>
        <v>0</v>
      </c>
      <c r="Z230" s="18">
        <f t="shared" si="188"/>
        <v>1960</v>
      </c>
      <c r="AA230" s="17">
        <f>MATCH(Z230,Tab.Year.Period!$11:$11,1)-3</f>
        <v>5</v>
      </c>
      <c r="AB230" s="17">
        <f>MATCH(AB$88&amp;"."&amp;TEXT(AA230,"00"),Tab.U.Default!$A:$A,0)</f>
        <v>28</v>
      </c>
      <c r="AC230" s="105">
        <f ca="1">OFFSET(Tab.U.Default!$A$1,$AB230-1,MATCH("U_Class_"&amp;IF($J230="TopCeiling","UpperCeiling",$J230)&amp;"_"&amp;AC$87,Tab.U.Default!$1:$1,0)-1)</f>
        <v>1.2</v>
      </c>
      <c r="AD230" s="105">
        <f ca="1">OFFSET(Tab.U.Default!$A$1,$AB230-1,MATCH("U_Class_"&amp;IF($J230="TopCeiling","UpperCeiling",$J230)&amp;"_"&amp;AD$87,Tab.U.Default!$1:$1,0)-1)</f>
        <v>1.2</v>
      </c>
      <c r="AE230" s="105">
        <f ca="1">OFFSET(Tab.U.Default!$A$1,$AB230-1,MATCH("U_Class_"&amp;IF($J230="TopCeiling","UpperCeiling",$J230)&amp;"_"&amp;AE$87,Tab.U.Default!$1:$1,0)-1)</f>
        <v>0.8</v>
      </c>
      <c r="AF230" s="26">
        <f t="shared" ca="1" si="189"/>
        <v>1.2</v>
      </c>
      <c r="AG230" s="26">
        <f t="shared" ca="1" si="190"/>
        <v>1.2</v>
      </c>
      <c r="AH230" s="18" t="str">
        <f t="shared" si="211"/>
        <v>Refurbish</v>
      </c>
      <c r="AI230" s="18" t="str">
        <f t="shared" si="191"/>
        <v>Add</v>
      </c>
      <c r="AJ230" s="18">
        <f t="shared" si="192"/>
        <v>2016</v>
      </c>
      <c r="AK230" s="17">
        <f>MATCH(AJ230,Tab.Year.Period!$11:$11,1)-3</f>
        <v>12</v>
      </c>
      <c r="AL230" s="17">
        <f>MATCH(AL$88&amp;"."&amp;TEXT(AK230,"00"),Tab.Insulation.Default!$A:$A,0)</f>
        <v>23</v>
      </c>
      <c r="AM230" s="20" t="e">
        <f ca="1">IF(ISNA(IF(S230="",#N/A,S230)),OFFSET(Tab.Insulation.Default!$A$1,$AL230-1,MATCH(AM$87&amp;"_"&amp;$K230,Tab.Insulation.Default!$1:$1,0)-1),#N/A)</f>
        <v>#N/A</v>
      </c>
      <c r="AN230" s="27">
        <f t="shared" si="193"/>
        <v>24</v>
      </c>
      <c r="AO230" s="22">
        <f ca="1">IF(ISNA(IF(V230="",#N/A,V230)),OFFSET(Tab.Insulation.Default!$A$1,$AL230-1,MATCH(AO$87&amp;"_"&amp;$K230,Tab.Insulation.Default!$1:$1,0)-1),#N/A)</f>
        <v>3.5000000000000003E-2</v>
      </c>
      <c r="AP230" s="23">
        <f t="shared" ca="1" si="194"/>
        <v>3.5000000000000003E-2</v>
      </c>
      <c r="AQ230" s="29" t="str">
        <f t="shared" si="212"/>
        <v>Gen.Refurbished.12</v>
      </c>
      <c r="AR230" s="17">
        <f>MATCH(AR$88&amp;"."&amp;AQ230,Tab.Measure.f.Default!$A:$A,0)</f>
        <v>23</v>
      </c>
      <c r="AS230" s="21">
        <f ca="1">OFFSET(Tab.Measure.f.Default!$A$1,AR230-1,MATCH(AS$87&amp;"_"&amp;$J230,Tab.Measure.f.Default!$1:$1,0)-1)</f>
        <v>0.75</v>
      </c>
      <c r="AT230" s="29" t="str">
        <f t="shared" si="213"/>
        <v>MUH.NA.05</v>
      </c>
      <c r="AU230" s="17">
        <f>MATCH(AU$88&amp;"."&amp;AT230,Tab.Measure.f.Default!$A:$A,0)</f>
        <v>40</v>
      </c>
      <c r="AV230" s="21">
        <f ca="1">OFFSET(Tab.Measure.f.Default!$A$1,AU230-1,MATCH(AV$87&amp;"_"&amp;$J230,Tab.Measure.f.Default!$1:$1,0)-1)</f>
        <v>0.37</v>
      </c>
      <c r="AW230" s="30">
        <f t="shared" si="195"/>
        <v>0.5</v>
      </c>
      <c r="AX230" s="9">
        <f t="shared" ca="1" si="214"/>
        <v>0.83333333333333337</v>
      </c>
      <c r="AY230" s="9">
        <f t="shared" ca="1" si="215"/>
        <v>6.8571428571428559</v>
      </c>
      <c r="AZ230" s="9">
        <f t="shared" ca="1" si="196"/>
        <v>7.6904761904761889</v>
      </c>
      <c r="BA230" s="9">
        <f t="shared" ca="1" si="197"/>
        <v>0.13003095975232201</v>
      </c>
      <c r="BB230" s="9">
        <f t="shared" ca="1" si="216"/>
        <v>0.66501547987616094</v>
      </c>
      <c r="BC230" s="32" t="str">
        <f t="shared" si="217"/>
        <v>D</v>
      </c>
      <c r="BD230" s="20" t="str">
        <f ca="1">OFFSET(Tab.Uncertainty.Levels!$A$1,MATCH(BD$88,Tab.Uncertainty.Levels!$A:$A,0)-1,MATCH(BD$87&amp;"_"&amp;BC230,Tab.Uncertainty.Levels!$1:$1,0)-1)</f>
        <v>Use of default values; building constructed until 1983</v>
      </c>
      <c r="BE230" s="24">
        <f ca="1">OFFSET(Tab.Uncertainty.Levels!$A$1,MATCH(BE$88,Tab.Uncertainty.Levels!$A:$A,0)-1,MATCH(BE$87&amp;"_"&amp;BC230,Tab.Uncertainty.Levels!$1:$1,0)-1)</f>
        <v>0.3</v>
      </c>
      <c r="BF230" s="32" t="str">
        <f t="shared" si="218"/>
        <v>-</v>
      </c>
      <c r="BG230" s="20" t="e">
        <f ca="1">OFFSET(Tab.Uncertainty.Levels!$A$1,MATCH(BG$88,Tab.Uncertainty.Levels!$A:$A,0)-1,MATCH(BG$87&amp;"_"&amp;BF230,Tab.Uncertainty.Levels!$1:$1,0)-1)</f>
        <v>#N/A</v>
      </c>
      <c r="BH230" s="24" t="e">
        <f ca="1">OFFSET(Tab.Uncertainty.Levels!$A$1,MATCH(BH$88,Tab.Uncertainty.Levels!$A:$A,0)-1,MATCH(BH$87&amp;"_"&amp;BF230,Tab.Uncertainty.Levels!$1:$1,0)-1)</f>
        <v>#N/A</v>
      </c>
      <c r="BI230" s="32" t="str">
        <f t="shared" ref="BI230:BI276" si="224">IF(BF230="-",BC230,BF230)</f>
        <v>D</v>
      </c>
      <c r="BJ230" s="13">
        <f ca="1">IF(BF230="-",BE230,BH230)</f>
        <v>0.3</v>
      </c>
      <c r="BK230" s="32" t="str">
        <f>IF(OR($L230="NoDataSource",IFERROR(IF($S230="",#N/A,$S230),0)=0),IF(IFERROR(IF(U230="",#N/A,U230),0)=0,"E","D"),IF($L230="DesignDataPlusQA","A",IF($L230="DesignData","B","C")))</f>
        <v>C</v>
      </c>
      <c r="BL230" s="20" t="str">
        <f ca="1">OFFSET(Tab.Uncertainty.Levels!$A$1,MATCH(BL$88,Tab.Uncertainty.Levels!$A:$A,0)-1,MATCH(BL$87&amp;"_"&amp;BK230,Tab.Uncertainty.Levels!$1:$1,0)-1)</f>
        <v>Insulation thickness determined by inspection onsite / record or statement of owner</v>
      </c>
      <c r="BM230" s="24">
        <f ca="1">OFFSET(Tab.Uncertainty.Levels!$A$1,MATCH(BM$88,Tab.Uncertainty.Levels!$A:$A,0)-1,MATCH(BM$87&amp;"_"&amp;BK230,Tab.Uncertainty.Levels!$1:$1,0)-1)</f>
        <v>0.25</v>
      </c>
      <c r="BN230" s="34">
        <f ca="1">OFFSET(Tab.Uncertainty.Levels!$A$1,MATCH(BN$88,Tab.Uncertainty.Levels!$A:$A,0)-1,MATCH(BN$87&amp;"_"&amp;BK230,Tab.Uncertainty.Levels!$1:$1,0)-1)</f>
        <v>2</v>
      </c>
      <c r="BO230" s="13">
        <f ca="1">IFERROR(MIN(BM230,BN230/AN230),0)</f>
        <v>8.3333333333333329E-2</v>
      </c>
      <c r="BP230" s="32" t="str">
        <f>IF(OR($L230="NoDataSource",IFERROR(IF($V230="",#N/A,$V230),0)=0),IF(IFERROR(IF(U230="",#N/A,U230),0)=0,"E","D"),IF($L230="DesignDataPlusQA","A",IF($L230="DesignData","B","C")))</f>
        <v>D</v>
      </c>
      <c r="BQ230" s="20" t="str">
        <f ca="1">OFFSET(Tab.Uncertainty.Levels!$A$1,MATCH(BQ$88,Tab.Uncertainty.Levels!$A:$A,0)-1,MATCH(BQ$87&amp;"_"&amp;BP230,Tab.Uncertainty.Levels!$1:$1,0)-1)</f>
        <v>Insulation available; no information about material</v>
      </c>
      <c r="BR230" s="97">
        <f ca="1">OFFSET(Tab.Uncertainty.Levels!$A$1,MATCH(BR$88,Tab.Uncertainty.Levels!$A:$A,0)-1,MATCH(BR$87&amp;"_"&amp;BP230,Tab.Uncertainty.Levels!$1:$1,0)-1)</f>
        <v>0.2</v>
      </c>
      <c r="BS230" s="32" t="str">
        <f>IF(L230="NoDataSource","D",IF(IFERROR(IF($T230="",#N/A,$T230),0)=0,IF(OR(IFERROR(IF($S230="",#N/A,$S230),0)&gt;0,$R230="Refurbish"),"D","E"),IF($L230="DesignDataPlusQA","A",IF($L230="DesignData","B","C"))))</f>
        <v>C</v>
      </c>
      <c r="BT230" s="20" t="str">
        <f ca="1">OFFSET(Tab.Uncertainty.Levels!$A$1,MATCH(BT$88,Tab.Uncertainty.Levels!$A:$A,0)-1,MATCH(BT$87&amp;"_"&amp;BS230,Tab.Uncertainty.Levels!$1:$1,0)-1)</f>
        <v>Insulation fraction determined by inspection onsite / record or statement of owner</v>
      </c>
      <c r="BU230" s="33">
        <f ca="1">OFFSET(Tab.Uncertainty.Levels!$A$1,MATCH(BU$88,Tab.Uncertainty.Levels!$A:$A,0)-1,MATCH(BU$87&amp;"_"&amp;BS230,Tab.Uncertainty.Levels!$1:$1,0)-1)</f>
        <v>0.2</v>
      </c>
      <c r="BV230" s="13">
        <f ca="1">IFERROR(MIN(BU230/AW230,1,(1-AW230)/AW230),0)</f>
        <v>0.4</v>
      </c>
      <c r="BW230" s="96">
        <f ca="1">ABS(1+(AW230*(1/(1+AN230/100/AP230*AG230)^2-1)))*BJ230*$AG230</f>
        <v>0.18211350631176373</v>
      </c>
      <c r="BX230" s="96">
        <f ca="1">ABS(-AG230+1/(1/AG230+AN230/100/AP230))*BV230*AW230</f>
        <v>0.21399380804953561</v>
      </c>
      <c r="BY230" s="96">
        <f ca="1">ABS(-AW230*AP230/((AP230/AG230+AN230/100)^2))*(BO230*AN230/100)</f>
        <v>4.8308715697457085E-3</v>
      </c>
      <c r="BZ230" s="202">
        <f ca="1">ABS(AW230*AN230/100/(1/AG230*AP230+AN230/100)^2)*(BR230*AP230)</f>
        <v>1.1594091767389699E-2</v>
      </c>
      <c r="CA230" s="103">
        <f t="shared" ca="1" si="198"/>
        <v>0.2812764464876864</v>
      </c>
      <c r="CB230" s="37">
        <f t="shared" ca="1" si="219"/>
        <v>0.27384852206098553</v>
      </c>
      <c r="CC230" s="37">
        <f t="shared" ca="1" si="220"/>
        <v>0.32178770949720675</v>
      </c>
      <c r="CD230" s="37">
        <f t="shared" ca="1" si="221"/>
        <v>7.2642994275040219E-3</v>
      </c>
      <c r="CE230" s="37">
        <f t="shared" ca="1" si="222"/>
        <v>1.7434318626009651E-2</v>
      </c>
      <c r="CF230" s="13">
        <f t="shared" ca="1" si="223"/>
        <v>0.42296225426221007</v>
      </c>
      <c r="CG230" s="101">
        <f ca="1">AG230</f>
        <v>1.2</v>
      </c>
      <c r="CH230" s="101">
        <f>AW230</f>
        <v>0.5</v>
      </c>
      <c r="CI230" s="203">
        <f>IF(CH230&gt;0,AN230,0)</f>
        <v>24</v>
      </c>
      <c r="CJ230" s="102">
        <f ca="1">IF(AND(CH230&gt;0,CI230&gt;0),AP230,0)</f>
        <v>3.5000000000000003E-2</v>
      </c>
      <c r="CK230" s="102">
        <f ca="1">BB230</f>
        <v>0.66501547987616094</v>
      </c>
      <c r="CL230" s="37">
        <f t="shared" ca="1" si="199"/>
        <v>0.3</v>
      </c>
      <c r="CM230" s="37">
        <f t="shared" ca="1" si="200"/>
        <v>0.4</v>
      </c>
      <c r="CN230" s="37">
        <f t="shared" ca="1" si="201"/>
        <v>8.3333333333333329E-2</v>
      </c>
      <c r="CO230" s="37">
        <f t="shared" ca="1" si="202"/>
        <v>0.2</v>
      </c>
      <c r="CP230" s="37">
        <f t="shared" ca="1" si="203"/>
        <v>0.42296225426221007</v>
      </c>
      <c r="CQ230" s="95">
        <f t="shared" ca="1" si="204"/>
        <v>0.36</v>
      </c>
      <c r="CR230" s="95">
        <f t="shared" ca="1" si="205"/>
        <v>0.2</v>
      </c>
      <c r="CS230" s="95">
        <f t="shared" ca="1" si="206"/>
        <v>2</v>
      </c>
      <c r="CT230" s="103">
        <f t="shared" ca="1" si="207"/>
        <v>7.000000000000001E-3</v>
      </c>
      <c r="CU230" s="95">
        <f t="shared" ca="1" si="208"/>
        <v>0.2812764464876864</v>
      </c>
      <c r="CV230" s="37">
        <f ca="1">$CB230^2/$CF230^2</f>
        <v>0.41919643318342614</v>
      </c>
      <c r="CW230" s="37">
        <f ca="1">$CD230^2/$CF230^2</f>
        <v>2.9497434813146624E-4</v>
      </c>
      <c r="CX230" s="37">
        <f ca="1">$CE230^2/$CF230^2</f>
        <v>1.6990522452372452E-3</v>
      </c>
      <c r="CY230" s="37">
        <f ca="1">$CC230^2/$CF230^2</f>
        <v>0.5788095402232053</v>
      </c>
      <c r="DA230" s="98" t="s">
        <v>214</v>
      </c>
      <c r="DB230" s="36">
        <f ca="1">OFFSET($A$1,ROW(DB230)-1,MATCH(DA230,$1:$1,0)-1)</f>
        <v>24</v>
      </c>
      <c r="DC230" s="9">
        <f ca="1">BB230</f>
        <v>0.66501547987616094</v>
      </c>
      <c r="DD230" s="9">
        <f ca="1">$DC230+$CA230</f>
        <v>0.9462919263638474</v>
      </c>
      <c r="DE230" s="9">
        <f ca="1">$DC230-$CA230</f>
        <v>0.38373903338847454</v>
      </c>
      <c r="DF230" s="10">
        <f t="shared" ca="1" si="181"/>
        <v>0.42296225426221012</v>
      </c>
    </row>
    <row r="231" spans="1:110" s="8" customFormat="1" ht="32.4" customHeight="1">
      <c r="A231" s="206" t="s">
        <v>667</v>
      </c>
      <c r="B231" s="208" t="s">
        <v>2346</v>
      </c>
      <c r="C231" s="206" t="str">
        <f t="shared" si="186"/>
        <v>Parameter-Variation: d_Insulation = 28 cm</v>
      </c>
      <c r="D231" s="206"/>
      <c r="E231" s="206" t="s">
        <v>198</v>
      </c>
      <c r="F231" s="206" t="str">
        <f t="shared" si="209"/>
        <v>28 cm</v>
      </c>
      <c r="G231" s="206" t="s">
        <v>2170</v>
      </c>
      <c r="H231" s="206" t="s">
        <v>2171</v>
      </c>
      <c r="I231" s="156" t="s">
        <v>80</v>
      </c>
      <c r="J231" s="156" t="s">
        <v>134</v>
      </c>
      <c r="K231" s="156" t="s">
        <v>155</v>
      </c>
      <c r="L231" s="156" t="s">
        <v>66</v>
      </c>
      <c r="M231" s="156" t="s">
        <v>188</v>
      </c>
      <c r="N231" s="7">
        <v>1960</v>
      </c>
      <c r="O231" s="156">
        <v>1</v>
      </c>
      <c r="P231" s="156">
        <v>0</v>
      </c>
      <c r="Q231" s="156" t="s">
        <v>435</v>
      </c>
      <c r="R231" s="156" t="s">
        <v>58</v>
      </c>
      <c r="S231" s="19">
        <f t="shared" si="210"/>
        <v>28</v>
      </c>
      <c r="T231" s="19">
        <v>0.5</v>
      </c>
      <c r="U231" s="19">
        <v>2016</v>
      </c>
      <c r="V231" s="19" t="e">
        <v>#N/A</v>
      </c>
      <c r="W231" s="28" t="s">
        <v>59</v>
      </c>
      <c r="X231" s="19" t="e">
        <v>#N/A</v>
      </c>
      <c r="Y231" s="105">
        <f ca="1">IFERROR(OFFSET(Tab.Const.ConstrBorder!$A$1,MATCH(Q231,Tab.Const.ConstrBorder!$A:$A,0)-1,MATCH(Y$87,Tab.Const.ConstrBorder!$1:$1,0)-1),0)</f>
        <v>0</v>
      </c>
      <c r="Z231" s="18">
        <f t="shared" si="188"/>
        <v>1960</v>
      </c>
      <c r="AA231" s="17">
        <f>MATCH(Z231,Tab.Year.Period!$11:$11,1)-3</f>
        <v>5</v>
      </c>
      <c r="AB231" s="17">
        <f>MATCH(AB$88&amp;"."&amp;TEXT(AA231,"00"),Tab.U.Default!$A:$A,0)</f>
        <v>28</v>
      </c>
      <c r="AC231" s="105">
        <f ca="1">OFFSET(Tab.U.Default!$A$1,$AB231-1,MATCH("U_Class_"&amp;IF($J231="TopCeiling","UpperCeiling",$J231)&amp;"_"&amp;AC$87,Tab.U.Default!$1:$1,0)-1)</f>
        <v>1.2</v>
      </c>
      <c r="AD231" s="105">
        <f ca="1">OFFSET(Tab.U.Default!$A$1,$AB231-1,MATCH("U_Class_"&amp;IF($J231="TopCeiling","UpperCeiling",$J231)&amp;"_"&amp;AD$87,Tab.U.Default!$1:$1,0)-1)</f>
        <v>1.2</v>
      </c>
      <c r="AE231" s="105">
        <f ca="1">OFFSET(Tab.U.Default!$A$1,$AB231-1,MATCH("U_Class_"&amp;IF($J231="TopCeiling","UpperCeiling",$J231)&amp;"_"&amp;AE$87,Tab.U.Default!$1:$1,0)-1)</f>
        <v>0.8</v>
      </c>
      <c r="AF231" s="26">
        <f t="shared" ca="1" si="189"/>
        <v>1.2</v>
      </c>
      <c r="AG231" s="26">
        <f t="shared" ca="1" si="190"/>
        <v>1.2</v>
      </c>
      <c r="AH231" s="18" t="str">
        <f t="shared" si="211"/>
        <v>Refurbish</v>
      </c>
      <c r="AI231" s="18" t="str">
        <f t="shared" si="191"/>
        <v>Add</v>
      </c>
      <c r="AJ231" s="18">
        <f t="shared" si="192"/>
        <v>2016</v>
      </c>
      <c r="AK231" s="17">
        <f>MATCH(AJ231,Tab.Year.Period!$11:$11,1)-3</f>
        <v>12</v>
      </c>
      <c r="AL231" s="17">
        <f>MATCH(AL$88&amp;"."&amp;TEXT(AK231,"00"),Tab.Insulation.Default!$A:$A,0)</f>
        <v>23</v>
      </c>
      <c r="AM231" s="20" t="e">
        <f ca="1">IF(ISNA(IF(S231="",#N/A,S231)),OFFSET(Tab.Insulation.Default!$A$1,$AL231-1,MATCH(AM$87&amp;"_"&amp;$K231,Tab.Insulation.Default!$1:$1,0)-1),#N/A)</f>
        <v>#N/A</v>
      </c>
      <c r="AN231" s="27">
        <f t="shared" si="193"/>
        <v>28</v>
      </c>
      <c r="AO231" s="22">
        <f ca="1">IF(ISNA(IF(V231="",#N/A,V231)),OFFSET(Tab.Insulation.Default!$A$1,$AL231-1,MATCH(AO$87&amp;"_"&amp;$K231,Tab.Insulation.Default!$1:$1,0)-1),#N/A)</f>
        <v>3.5000000000000003E-2</v>
      </c>
      <c r="AP231" s="23">
        <f t="shared" ca="1" si="194"/>
        <v>3.5000000000000003E-2</v>
      </c>
      <c r="AQ231" s="29" t="str">
        <f t="shared" si="212"/>
        <v>Gen.Refurbished.12</v>
      </c>
      <c r="AR231" s="17">
        <f>MATCH(AR$88&amp;"."&amp;AQ231,Tab.Measure.f.Default!$A:$A,0)</f>
        <v>23</v>
      </c>
      <c r="AS231" s="21">
        <f ca="1">OFFSET(Tab.Measure.f.Default!$A$1,AR231-1,MATCH(AS$87&amp;"_"&amp;$J231,Tab.Measure.f.Default!$1:$1,0)-1)</f>
        <v>0.75</v>
      </c>
      <c r="AT231" s="29" t="str">
        <f t="shared" si="213"/>
        <v>MUH.NA.05</v>
      </c>
      <c r="AU231" s="17">
        <f>MATCH(AU$88&amp;"."&amp;AT231,Tab.Measure.f.Default!$A:$A,0)</f>
        <v>40</v>
      </c>
      <c r="AV231" s="21">
        <f ca="1">OFFSET(Tab.Measure.f.Default!$A$1,AU231-1,MATCH(AV$87&amp;"_"&amp;$J231,Tab.Measure.f.Default!$1:$1,0)-1)</f>
        <v>0.37</v>
      </c>
      <c r="AW231" s="30">
        <f t="shared" si="195"/>
        <v>0.5</v>
      </c>
      <c r="AX231" s="9">
        <f t="shared" ca="1" si="214"/>
        <v>0.83333333333333337</v>
      </c>
      <c r="AY231" s="9">
        <f t="shared" ca="1" si="215"/>
        <v>8</v>
      </c>
      <c r="AZ231" s="9">
        <f t="shared" ca="1" si="196"/>
        <v>8.8333333333333339</v>
      </c>
      <c r="BA231" s="9">
        <f t="shared" ca="1" si="197"/>
        <v>0.11320754716981131</v>
      </c>
      <c r="BB231" s="9">
        <f t="shared" ca="1" si="216"/>
        <v>0.65660377358490563</v>
      </c>
      <c r="BC231" s="32" t="str">
        <f t="shared" si="217"/>
        <v>D</v>
      </c>
      <c r="BD231" s="20" t="str">
        <f ca="1">OFFSET(Tab.Uncertainty.Levels!$A$1,MATCH(BD$88,Tab.Uncertainty.Levels!$A:$A,0)-1,MATCH(BD$87&amp;"_"&amp;BC231,Tab.Uncertainty.Levels!$1:$1,0)-1)</f>
        <v>Use of default values; building constructed until 1983</v>
      </c>
      <c r="BE231" s="24">
        <f ca="1">OFFSET(Tab.Uncertainty.Levels!$A$1,MATCH(BE$88,Tab.Uncertainty.Levels!$A:$A,0)-1,MATCH(BE$87&amp;"_"&amp;BC231,Tab.Uncertainty.Levels!$1:$1,0)-1)</f>
        <v>0.3</v>
      </c>
      <c r="BF231" s="32" t="str">
        <f t="shared" si="218"/>
        <v>-</v>
      </c>
      <c r="BG231" s="20" t="e">
        <f ca="1">OFFSET(Tab.Uncertainty.Levels!$A$1,MATCH(BG$88,Tab.Uncertainty.Levels!$A:$A,0)-1,MATCH(BG$87&amp;"_"&amp;BF231,Tab.Uncertainty.Levels!$1:$1,0)-1)</f>
        <v>#N/A</v>
      </c>
      <c r="BH231" s="24" t="e">
        <f ca="1">OFFSET(Tab.Uncertainty.Levels!$A$1,MATCH(BH$88,Tab.Uncertainty.Levels!$A:$A,0)-1,MATCH(BH$87&amp;"_"&amp;BF231,Tab.Uncertainty.Levels!$1:$1,0)-1)</f>
        <v>#N/A</v>
      </c>
      <c r="BI231" s="32" t="str">
        <f t="shared" si="224"/>
        <v>D</v>
      </c>
      <c r="BJ231" s="13">
        <f ca="1">IF(BF231="-",BE231,BH231)</f>
        <v>0.3</v>
      </c>
      <c r="BK231" s="32" t="str">
        <f>IF(OR($L231="NoDataSource",IFERROR(IF($S231="",#N/A,$S231),0)=0),IF(IFERROR(IF(U231="",#N/A,U231),0)=0,"E","D"),IF($L231="DesignDataPlusQA","A",IF($L231="DesignData","B","C")))</f>
        <v>C</v>
      </c>
      <c r="BL231" s="20" t="str">
        <f ca="1">OFFSET(Tab.Uncertainty.Levels!$A$1,MATCH(BL$88,Tab.Uncertainty.Levels!$A:$A,0)-1,MATCH(BL$87&amp;"_"&amp;BK231,Tab.Uncertainty.Levels!$1:$1,0)-1)</f>
        <v>Insulation thickness determined by inspection onsite / record or statement of owner</v>
      </c>
      <c r="BM231" s="24">
        <f ca="1">OFFSET(Tab.Uncertainty.Levels!$A$1,MATCH(BM$88,Tab.Uncertainty.Levels!$A:$A,0)-1,MATCH(BM$87&amp;"_"&amp;BK231,Tab.Uncertainty.Levels!$1:$1,0)-1)</f>
        <v>0.25</v>
      </c>
      <c r="BN231" s="34">
        <f ca="1">OFFSET(Tab.Uncertainty.Levels!$A$1,MATCH(BN$88,Tab.Uncertainty.Levels!$A:$A,0)-1,MATCH(BN$87&amp;"_"&amp;BK231,Tab.Uncertainty.Levels!$1:$1,0)-1)</f>
        <v>2</v>
      </c>
      <c r="BO231" s="13">
        <f ca="1">IFERROR(MIN(BM231,BN231/AN231),0)</f>
        <v>7.1428571428571425E-2</v>
      </c>
      <c r="BP231" s="32" t="str">
        <f>IF(OR($L231="NoDataSource",IFERROR(IF($V231="",#N/A,$V231),0)=0),IF(IFERROR(IF(U231="",#N/A,U231),0)=0,"E","D"),IF($L231="DesignDataPlusQA","A",IF($L231="DesignData","B","C")))</f>
        <v>D</v>
      </c>
      <c r="BQ231" s="20" t="str">
        <f ca="1">OFFSET(Tab.Uncertainty.Levels!$A$1,MATCH(BQ$88,Tab.Uncertainty.Levels!$A:$A,0)-1,MATCH(BQ$87&amp;"_"&amp;BP231,Tab.Uncertainty.Levels!$1:$1,0)-1)</f>
        <v>Insulation available; no information about material</v>
      </c>
      <c r="BR231" s="97">
        <f ca="1">OFFSET(Tab.Uncertainty.Levels!$A$1,MATCH(BR$88,Tab.Uncertainty.Levels!$A:$A,0)-1,MATCH(BR$87&amp;"_"&amp;BP231,Tab.Uncertainty.Levels!$1:$1,0)-1)</f>
        <v>0.2</v>
      </c>
      <c r="BS231" s="32" t="str">
        <f>IF(L231="NoDataSource","D",IF(IFERROR(IF($T231="",#N/A,$T231),0)=0,IF(OR(IFERROR(IF($S231="",#N/A,$S231),0)&gt;0,$R231="Refurbish"),"D","E"),IF($L231="DesignDataPlusQA","A",IF($L231="DesignData","B","C"))))</f>
        <v>C</v>
      </c>
      <c r="BT231" s="20" t="str">
        <f ca="1">OFFSET(Tab.Uncertainty.Levels!$A$1,MATCH(BT$88,Tab.Uncertainty.Levels!$A:$A,0)-1,MATCH(BT$87&amp;"_"&amp;BS231,Tab.Uncertainty.Levels!$1:$1,0)-1)</f>
        <v>Insulation fraction determined by inspection onsite / record or statement of owner</v>
      </c>
      <c r="BU231" s="33">
        <f ca="1">OFFSET(Tab.Uncertainty.Levels!$A$1,MATCH(BU$88,Tab.Uncertainty.Levels!$A:$A,0)-1,MATCH(BU$87&amp;"_"&amp;BS231,Tab.Uncertainty.Levels!$1:$1,0)-1)</f>
        <v>0.2</v>
      </c>
      <c r="BV231" s="13">
        <f ca="1">IFERROR(MIN(BU231/AW231,1,(1-AW231)/AW231),0)</f>
        <v>0.4</v>
      </c>
      <c r="BW231" s="96">
        <f ca="1">ABS(1+(AW231*(1/(1+AN231/100/AP231*AG231)^2-1)))*BJ231*$AG231</f>
        <v>0.18160199359202561</v>
      </c>
      <c r="BX231" s="96">
        <f ca="1">ABS(-AG231+1/(1/AG231+AN231/100/AP231))*BV231*AW231</f>
        <v>0.21735849056603773</v>
      </c>
      <c r="BY231" s="96">
        <f ca="1">ABS(-AW231*AP231/((AP231/AG231+AN231/100)^2))*(BO231*AN231/100)</f>
        <v>3.6616996389157298E-3</v>
      </c>
      <c r="BZ231" s="202">
        <f ca="1">ABS(AW231*AN231/100/(1/AG231*AP231+AN231/100)^2)*(BR231*AP231)</f>
        <v>1.0252758988964045E-2</v>
      </c>
      <c r="CA231" s="103">
        <f t="shared" ca="1" si="198"/>
        <v>0.2834475694178305</v>
      </c>
      <c r="CB231" s="37">
        <f t="shared" ca="1" si="219"/>
        <v>0.27657774886141834</v>
      </c>
      <c r="CC231" s="37">
        <f t="shared" ca="1" si="220"/>
        <v>0.33103448275862069</v>
      </c>
      <c r="CD231" s="37">
        <f t="shared" ca="1" si="221"/>
        <v>5.5767264615670603E-3</v>
      </c>
      <c r="CE231" s="37">
        <f t="shared" ca="1" si="222"/>
        <v>1.561483409238777E-2</v>
      </c>
      <c r="CF231" s="13">
        <f t="shared" ca="1" si="223"/>
        <v>0.43168739020531655</v>
      </c>
      <c r="CG231" s="101">
        <f ca="1">AG231</f>
        <v>1.2</v>
      </c>
      <c r="CH231" s="101">
        <f>AW231</f>
        <v>0.5</v>
      </c>
      <c r="CI231" s="203">
        <f>IF(CH231&gt;0,AN231,0)</f>
        <v>28</v>
      </c>
      <c r="CJ231" s="102">
        <f ca="1">IF(AND(CH231&gt;0,CI231&gt;0),AP231,0)</f>
        <v>3.5000000000000003E-2</v>
      </c>
      <c r="CK231" s="102">
        <f ca="1">BB231</f>
        <v>0.65660377358490563</v>
      </c>
      <c r="CL231" s="37">
        <f t="shared" ca="1" si="199"/>
        <v>0.3</v>
      </c>
      <c r="CM231" s="37">
        <f t="shared" ca="1" si="200"/>
        <v>0.4</v>
      </c>
      <c r="CN231" s="37">
        <f t="shared" ca="1" si="201"/>
        <v>7.1428571428571425E-2</v>
      </c>
      <c r="CO231" s="37">
        <f t="shared" ca="1" si="202"/>
        <v>0.2</v>
      </c>
      <c r="CP231" s="37">
        <f t="shared" ca="1" si="203"/>
        <v>0.43168739020531655</v>
      </c>
      <c r="CQ231" s="95">
        <f t="shared" ca="1" si="204"/>
        <v>0.36</v>
      </c>
      <c r="CR231" s="95">
        <f t="shared" ca="1" si="205"/>
        <v>0.2</v>
      </c>
      <c r="CS231" s="95">
        <f t="shared" ca="1" si="206"/>
        <v>2</v>
      </c>
      <c r="CT231" s="103">
        <f t="shared" ca="1" si="207"/>
        <v>7.000000000000001E-3</v>
      </c>
      <c r="CU231" s="95">
        <f t="shared" ca="1" si="208"/>
        <v>0.28344756941783045</v>
      </c>
      <c r="CV231" s="37">
        <f ca="1">$CB231^2/$CF231^2</f>
        <v>0.41048354202395487</v>
      </c>
      <c r="CW231" s="37">
        <f ca="1">$CD231^2/$CF231^2</f>
        <v>1.668860209572545E-4</v>
      </c>
      <c r="CX231" s="37">
        <f ca="1">$CE231^2/$CF231^2</f>
        <v>1.3083864043048755E-3</v>
      </c>
      <c r="CY231" s="37">
        <f ca="1">$CC231^2/$CF231^2</f>
        <v>0.58804118555078311</v>
      </c>
      <c r="DA231" s="98" t="s">
        <v>214</v>
      </c>
      <c r="DB231" s="36">
        <f ca="1">OFFSET($A$1,ROW(DB231)-1,MATCH(DA231,$1:$1,0)-1)</f>
        <v>28</v>
      </c>
      <c r="DC231" s="9">
        <f ca="1">BB231</f>
        <v>0.65660377358490563</v>
      </c>
      <c r="DD231" s="9">
        <f ca="1">$DC231+$CA231</f>
        <v>0.94005134300273618</v>
      </c>
      <c r="DE231" s="9">
        <f ca="1">$DC231-$CA231</f>
        <v>0.37315620416707512</v>
      </c>
      <c r="DF231" s="10">
        <f t="shared" ca="1" si="181"/>
        <v>0.43168739020531666</v>
      </c>
    </row>
    <row r="232" spans="1:110" s="8" customFormat="1" ht="32.4" customHeight="1">
      <c r="A232" s="206" t="s">
        <v>668</v>
      </c>
      <c r="B232" s="208" t="s">
        <v>2346</v>
      </c>
      <c r="C232" s="206" t="str">
        <f t="shared" si="186"/>
        <v>Parameter-Variation: d_Insulation = 32 cm</v>
      </c>
      <c r="D232" s="206"/>
      <c r="E232" s="206" t="s">
        <v>198</v>
      </c>
      <c r="F232" s="206" t="str">
        <f t="shared" si="209"/>
        <v>32 cm</v>
      </c>
      <c r="G232" s="206" t="s">
        <v>2170</v>
      </c>
      <c r="H232" s="206" t="s">
        <v>2171</v>
      </c>
      <c r="I232" s="156" t="s">
        <v>80</v>
      </c>
      <c r="J232" s="156" t="s">
        <v>134</v>
      </c>
      <c r="K232" s="156" t="s">
        <v>155</v>
      </c>
      <c r="L232" s="156" t="s">
        <v>66</v>
      </c>
      <c r="M232" s="156" t="s">
        <v>188</v>
      </c>
      <c r="N232" s="7">
        <v>1960</v>
      </c>
      <c r="O232" s="156">
        <v>1</v>
      </c>
      <c r="P232" s="156">
        <v>0</v>
      </c>
      <c r="Q232" s="156" t="s">
        <v>435</v>
      </c>
      <c r="R232" s="156" t="s">
        <v>58</v>
      </c>
      <c r="S232" s="19">
        <f t="shared" si="210"/>
        <v>32</v>
      </c>
      <c r="T232" s="19">
        <v>0.5</v>
      </c>
      <c r="U232" s="19">
        <v>2016</v>
      </c>
      <c r="V232" s="19" t="e">
        <v>#N/A</v>
      </c>
      <c r="W232" s="28" t="s">
        <v>59</v>
      </c>
      <c r="X232" s="19" t="e">
        <v>#N/A</v>
      </c>
      <c r="Y232" s="105">
        <f ca="1">IFERROR(OFFSET(Tab.Const.ConstrBorder!$A$1,MATCH(Q232,Tab.Const.ConstrBorder!$A:$A,0)-1,MATCH(Y$87,Tab.Const.ConstrBorder!$1:$1,0)-1),0)</f>
        <v>0</v>
      </c>
      <c r="Z232" s="18">
        <f t="shared" si="188"/>
        <v>1960</v>
      </c>
      <c r="AA232" s="17">
        <f>MATCH(Z232,Tab.Year.Period!$11:$11,1)-3</f>
        <v>5</v>
      </c>
      <c r="AB232" s="17">
        <f>MATCH(AB$88&amp;"."&amp;TEXT(AA232,"00"),Tab.U.Default!$A:$A,0)</f>
        <v>28</v>
      </c>
      <c r="AC232" s="105">
        <f ca="1">OFFSET(Tab.U.Default!$A$1,$AB232-1,MATCH("U_Class_"&amp;IF($J232="TopCeiling","UpperCeiling",$J232)&amp;"_"&amp;AC$87,Tab.U.Default!$1:$1,0)-1)</f>
        <v>1.2</v>
      </c>
      <c r="AD232" s="105">
        <f ca="1">OFFSET(Tab.U.Default!$A$1,$AB232-1,MATCH("U_Class_"&amp;IF($J232="TopCeiling","UpperCeiling",$J232)&amp;"_"&amp;AD$87,Tab.U.Default!$1:$1,0)-1)</f>
        <v>1.2</v>
      </c>
      <c r="AE232" s="105">
        <f ca="1">OFFSET(Tab.U.Default!$A$1,$AB232-1,MATCH("U_Class_"&amp;IF($J232="TopCeiling","UpperCeiling",$J232)&amp;"_"&amp;AE$87,Tab.U.Default!$1:$1,0)-1)</f>
        <v>0.8</v>
      </c>
      <c r="AF232" s="26">
        <f t="shared" ca="1" si="189"/>
        <v>1.2</v>
      </c>
      <c r="AG232" s="26">
        <f t="shared" ca="1" si="190"/>
        <v>1.2</v>
      </c>
      <c r="AH232" s="18" t="str">
        <f t="shared" si="211"/>
        <v>Refurbish</v>
      </c>
      <c r="AI232" s="18" t="str">
        <f t="shared" si="191"/>
        <v>Add</v>
      </c>
      <c r="AJ232" s="18">
        <f t="shared" si="192"/>
        <v>2016</v>
      </c>
      <c r="AK232" s="17">
        <f>MATCH(AJ232,Tab.Year.Period!$11:$11,1)-3</f>
        <v>12</v>
      </c>
      <c r="AL232" s="17">
        <f>MATCH(AL$88&amp;"."&amp;TEXT(AK232,"00"),Tab.Insulation.Default!$A:$A,0)</f>
        <v>23</v>
      </c>
      <c r="AM232" s="20" t="e">
        <f ca="1">IF(ISNA(IF(S232="",#N/A,S232)),OFFSET(Tab.Insulation.Default!$A$1,$AL232-1,MATCH(AM$87&amp;"_"&amp;$K232,Tab.Insulation.Default!$1:$1,0)-1),#N/A)</f>
        <v>#N/A</v>
      </c>
      <c r="AN232" s="27">
        <f t="shared" si="193"/>
        <v>32</v>
      </c>
      <c r="AO232" s="22">
        <f ca="1">IF(ISNA(IF(V232="",#N/A,V232)),OFFSET(Tab.Insulation.Default!$A$1,$AL232-1,MATCH(AO$87&amp;"_"&amp;$K232,Tab.Insulation.Default!$1:$1,0)-1),#N/A)</f>
        <v>3.5000000000000003E-2</v>
      </c>
      <c r="AP232" s="23">
        <f t="shared" ca="1" si="194"/>
        <v>3.5000000000000003E-2</v>
      </c>
      <c r="AQ232" s="29" t="str">
        <f t="shared" si="212"/>
        <v>Gen.Refurbished.12</v>
      </c>
      <c r="AR232" s="17">
        <f>MATCH(AR$88&amp;"."&amp;AQ232,Tab.Measure.f.Default!$A:$A,0)</f>
        <v>23</v>
      </c>
      <c r="AS232" s="21">
        <f ca="1">OFFSET(Tab.Measure.f.Default!$A$1,AR232-1,MATCH(AS$87&amp;"_"&amp;$J232,Tab.Measure.f.Default!$1:$1,0)-1)</f>
        <v>0.75</v>
      </c>
      <c r="AT232" s="29" t="str">
        <f t="shared" si="213"/>
        <v>MUH.NA.05</v>
      </c>
      <c r="AU232" s="17">
        <f>MATCH(AU$88&amp;"."&amp;AT232,Tab.Measure.f.Default!$A:$A,0)</f>
        <v>40</v>
      </c>
      <c r="AV232" s="21">
        <f ca="1">OFFSET(Tab.Measure.f.Default!$A$1,AU232-1,MATCH(AV$87&amp;"_"&amp;$J232,Tab.Measure.f.Default!$1:$1,0)-1)</f>
        <v>0.37</v>
      </c>
      <c r="AW232" s="30">
        <f t="shared" si="195"/>
        <v>0.5</v>
      </c>
      <c r="AX232" s="9">
        <f t="shared" ca="1" si="214"/>
        <v>0.83333333333333337</v>
      </c>
      <c r="AY232" s="9">
        <f t="shared" ca="1" si="215"/>
        <v>9.1428571428571423</v>
      </c>
      <c r="AZ232" s="9">
        <f t="shared" ca="1" si="196"/>
        <v>9.9761904761904763</v>
      </c>
      <c r="BA232" s="9">
        <f t="shared" ca="1" si="197"/>
        <v>0.10023866348448687</v>
      </c>
      <c r="BB232" s="9">
        <f t="shared" ca="1" si="216"/>
        <v>0.65011933174224346</v>
      </c>
      <c r="BC232" s="32" t="str">
        <f t="shared" si="217"/>
        <v>D</v>
      </c>
      <c r="BD232" s="20" t="str">
        <f ca="1">OFFSET(Tab.Uncertainty.Levels!$A$1,MATCH(BD$88,Tab.Uncertainty.Levels!$A:$A,0)-1,MATCH(BD$87&amp;"_"&amp;BC232,Tab.Uncertainty.Levels!$1:$1,0)-1)</f>
        <v>Use of default values; building constructed until 1983</v>
      </c>
      <c r="BE232" s="24">
        <f ca="1">OFFSET(Tab.Uncertainty.Levels!$A$1,MATCH(BE$88,Tab.Uncertainty.Levels!$A:$A,0)-1,MATCH(BE$87&amp;"_"&amp;BC232,Tab.Uncertainty.Levels!$1:$1,0)-1)</f>
        <v>0.3</v>
      </c>
      <c r="BF232" s="32" t="str">
        <f t="shared" si="218"/>
        <v>-</v>
      </c>
      <c r="BG232" s="20" t="e">
        <f ca="1">OFFSET(Tab.Uncertainty.Levels!$A$1,MATCH(BG$88,Tab.Uncertainty.Levels!$A:$A,0)-1,MATCH(BG$87&amp;"_"&amp;BF232,Tab.Uncertainty.Levels!$1:$1,0)-1)</f>
        <v>#N/A</v>
      </c>
      <c r="BH232" s="24" t="e">
        <f ca="1">OFFSET(Tab.Uncertainty.Levels!$A$1,MATCH(BH$88,Tab.Uncertainty.Levels!$A:$A,0)-1,MATCH(BH$87&amp;"_"&amp;BF232,Tab.Uncertainty.Levels!$1:$1,0)-1)</f>
        <v>#N/A</v>
      </c>
      <c r="BI232" s="32" t="str">
        <f t="shared" si="224"/>
        <v>D</v>
      </c>
      <c r="BJ232" s="13">
        <f ca="1">IF(BF232="-",BE232,BH232)</f>
        <v>0.3</v>
      </c>
      <c r="BK232" s="32" t="str">
        <f>IF(OR($L232="NoDataSource",IFERROR(IF($S232="",#N/A,$S232),0)=0),IF(IFERROR(IF(U232="",#N/A,U232),0)=0,"E","D"),IF($L232="DesignDataPlusQA","A",IF($L232="DesignData","B","C")))</f>
        <v>C</v>
      </c>
      <c r="BL232" s="20" t="str">
        <f ca="1">OFFSET(Tab.Uncertainty.Levels!$A$1,MATCH(BL$88,Tab.Uncertainty.Levels!$A:$A,0)-1,MATCH(BL$87&amp;"_"&amp;BK232,Tab.Uncertainty.Levels!$1:$1,0)-1)</f>
        <v>Insulation thickness determined by inspection onsite / record or statement of owner</v>
      </c>
      <c r="BM232" s="24">
        <f ca="1">OFFSET(Tab.Uncertainty.Levels!$A$1,MATCH(BM$88,Tab.Uncertainty.Levels!$A:$A,0)-1,MATCH(BM$87&amp;"_"&amp;BK232,Tab.Uncertainty.Levels!$1:$1,0)-1)</f>
        <v>0.25</v>
      </c>
      <c r="BN232" s="34">
        <f ca="1">OFFSET(Tab.Uncertainty.Levels!$A$1,MATCH(BN$88,Tab.Uncertainty.Levels!$A:$A,0)-1,MATCH(BN$87&amp;"_"&amp;BK232,Tab.Uncertainty.Levels!$1:$1,0)-1)</f>
        <v>2</v>
      </c>
      <c r="BO232" s="13">
        <f ca="1">IFERROR(MIN(BM232,BN232/AN232),0)</f>
        <v>6.25E-2</v>
      </c>
      <c r="BP232" s="32" t="str">
        <f>IF(OR($L232="NoDataSource",IFERROR(IF($V232="",#N/A,$V232),0)=0),IF(IFERROR(IF(U232="",#N/A,U232),0)=0,"E","D"),IF($L232="DesignDataPlusQA","A",IF($L232="DesignData","B","C")))</f>
        <v>D</v>
      </c>
      <c r="BQ232" s="20" t="str">
        <f ca="1">OFFSET(Tab.Uncertainty.Levels!$A$1,MATCH(BQ$88,Tab.Uncertainty.Levels!$A:$A,0)-1,MATCH(BQ$87&amp;"_"&amp;BP232,Tab.Uncertainty.Levels!$1:$1,0)-1)</f>
        <v>Insulation available; no information about material</v>
      </c>
      <c r="BR232" s="97">
        <f ca="1">OFFSET(Tab.Uncertainty.Levels!$A$1,MATCH(BR$88,Tab.Uncertainty.Levels!$A:$A,0)-1,MATCH(BR$87&amp;"_"&amp;BP232,Tab.Uncertainty.Levels!$1:$1,0)-1)</f>
        <v>0.2</v>
      </c>
      <c r="BS232" s="32" t="str">
        <f>IF(L232="NoDataSource","D",IF(IFERROR(IF($T232="",#N/A,$T232),0)=0,IF(OR(IFERROR(IF($S232="",#N/A,$S232),0)&gt;0,$R232="Refurbish"),"D","E"),IF($L232="DesignDataPlusQA","A",IF($L232="DesignData","B","C"))))</f>
        <v>C</v>
      </c>
      <c r="BT232" s="20" t="str">
        <f ca="1">OFFSET(Tab.Uncertainty.Levels!$A$1,MATCH(BT$88,Tab.Uncertainty.Levels!$A:$A,0)-1,MATCH(BT$87&amp;"_"&amp;BS232,Tab.Uncertainty.Levels!$1:$1,0)-1)</f>
        <v>Insulation fraction determined by inspection onsite / record or statement of owner</v>
      </c>
      <c r="BU232" s="33">
        <f ca="1">OFFSET(Tab.Uncertainty.Levels!$A$1,MATCH(BU$88,Tab.Uncertainty.Levels!$A:$A,0)-1,MATCH(BU$87&amp;"_"&amp;BS232,Tab.Uncertainty.Levels!$1:$1,0)-1)</f>
        <v>0.2</v>
      </c>
      <c r="BV232" s="13">
        <f ca="1">IFERROR(MIN(BU232/AW232,1,(1-AW232)/AW232),0)</f>
        <v>0.4</v>
      </c>
      <c r="BW232" s="96">
        <f ca="1">ABS(1+(AW232*(1/(1+AN232/100/AP232*AG232)^2-1)))*BJ232*$AG232</f>
        <v>0.1812559737071445</v>
      </c>
      <c r="BX232" s="96">
        <f ca="1">ABS(-AG232+1/(1/AG232+AN232/100/AP232))*BV232*AW232</f>
        <v>0.21995226730310261</v>
      </c>
      <c r="BY232" s="96">
        <f ca="1">ABS(-AW232*AP232/((AP232/AG232+AN232/100)^2))*(BO232*AN232/100)</f>
        <v>2.8707970449017724E-3</v>
      </c>
      <c r="BZ232" s="202">
        <f ca="1">ABS(AW232*AN232/100/(1/AG232*AP232+AN232/100)^2)*(BR232*AP232)</f>
        <v>9.1865505436856711E-3</v>
      </c>
      <c r="CA232" s="103">
        <f t="shared" ca="1" si="198"/>
        <v>0.28517601947370202</v>
      </c>
      <c r="CB232" s="37">
        <f t="shared" ca="1" si="219"/>
        <v>0.27880415926319213</v>
      </c>
      <c r="CC232" s="37">
        <f t="shared" ca="1" si="220"/>
        <v>0.3383259911894273</v>
      </c>
      <c r="CD232" s="37">
        <f t="shared" ca="1" si="221"/>
        <v>4.4158001535016247E-3</v>
      </c>
      <c r="CE232" s="37">
        <f t="shared" ca="1" si="222"/>
        <v>1.4130560491205198E-2</v>
      </c>
      <c r="CF232" s="13">
        <f t="shared" ca="1" si="223"/>
        <v>0.43865180675286763</v>
      </c>
      <c r="CG232" s="101">
        <f ca="1">AG232</f>
        <v>1.2</v>
      </c>
      <c r="CH232" s="101">
        <f>AW232</f>
        <v>0.5</v>
      </c>
      <c r="CI232" s="203">
        <f>IF(CH232&gt;0,AN232,0)</f>
        <v>32</v>
      </c>
      <c r="CJ232" s="102">
        <f ca="1">IF(AND(CH232&gt;0,CI232&gt;0),AP232,0)</f>
        <v>3.5000000000000003E-2</v>
      </c>
      <c r="CK232" s="102">
        <f ca="1">BB232</f>
        <v>0.65011933174224346</v>
      </c>
      <c r="CL232" s="37">
        <f t="shared" ca="1" si="199"/>
        <v>0.3</v>
      </c>
      <c r="CM232" s="37">
        <f t="shared" ca="1" si="200"/>
        <v>0.4</v>
      </c>
      <c r="CN232" s="37">
        <f t="shared" ca="1" si="201"/>
        <v>6.25E-2</v>
      </c>
      <c r="CO232" s="37">
        <f t="shared" ca="1" si="202"/>
        <v>0.2</v>
      </c>
      <c r="CP232" s="37">
        <f t="shared" ca="1" si="203"/>
        <v>0.43865180675286763</v>
      </c>
      <c r="CQ232" s="95">
        <f t="shared" ca="1" si="204"/>
        <v>0.36</v>
      </c>
      <c r="CR232" s="95">
        <f t="shared" ca="1" si="205"/>
        <v>0.2</v>
      </c>
      <c r="CS232" s="95">
        <f t="shared" ca="1" si="206"/>
        <v>2</v>
      </c>
      <c r="CT232" s="103">
        <f t="shared" ca="1" si="207"/>
        <v>7.000000000000001E-3</v>
      </c>
      <c r="CU232" s="95">
        <f t="shared" ca="1" si="208"/>
        <v>0.28517601947370202</v>
      </c>
      <c r="CV232" s="37">
        <f ca="1">$CB232^2/$CF232^2</f>
        <v>0.40397887157328893</v>
      </c>
      <c r="CW232" s="37">
        <f ca="1">$CD232^2/$CF232^2</f>
        <v>1.0133955093392907E-4</v>
      </c>
      <c r="CX232" s="37">
        <f ca="1">$CE232^2/$CF232^2</f>
        <v>1.0377170015634335E-3</v>
      </c>
      <c r="CY232" s="37">
        <f ca="1">$CC232^2/$CF232^2</f>
        <v>0.5948820718742136</v>
      </c>
      <c r="DA232" s="98" t="s">
        <v>214</v>
      </c>
      <c r="DB232" s="36">
        <f ca="1">OFFSET($A$1,ROW(DB232)-1,MATCH(DA232,$1:$1,0)-1)</f>
        <v>32</v>
      </c>
      <c r="DC232" s="9">
        <f ca="1">BB232</f>
        <v>0.65011933174224346</v>
      </c>
      <c r="DD232" s="9">
        <f ca="1">$DC232+$CA232</f>
        <v>0.93529535121594543</v>
      </c>
      <c r="DE232" s="9">
        <f ca="1">$DC232-$CA232</f>
        <v>0.36494331226854143</v>
      </c>
      <c r="DF232" s="10">
        <f t="shared" ca="1" si="181"/>
        <v>0.43865180675286758</v>
      </c>
    </row>
    <row r="233" spans="1:110" s="8" customFormat="1" ht="32.4" customHeight="1">
      <c r="A233" s="206" t="s">
        <v>669</v>
      </c>
      <c r="B233" s="208" t="s">
        <v>2346</v>
      </c>
      <c r="C233" s="206" t="str">
        <f t="shared" si="186"/>
        <v>Parameter-Variation: d_Insulation = 36 cm</v>
      </c>
      <c r="D233" s="206"/>
      <c r="E233" s="206" t="s">
        <v>198</v>
      </c>
      <c r="F233" s="206" t="str">
        <f t="shared" si="209"/>
        <v>36 cm</v>
      </c>
      <c r="G233" s="206" t="s">
        <v>2170</v>
      </c>
      <c r="H233" s="206" t="s">
        <v>2171</v>
      </c>
      <c r="I233" s="156" t="s">
        <v>80</v>
      </c>
      <c r="J233" s="156" t="s">
        <v>134</v>
      </c>
      <c r="K233" s="156" t="s">
        <v>155</v>
      </c>
      <c r="L233" s="156" t="s">
        <v>66</v>
      </c>
      <c r="M233" s="156" t="s">
        <v>188</v>
      </c>
      <c r="N233" s="7">
        <v>1960</v>
      </c>
      <c r="O233" s="156">
        <v>1</v>
      </c>
      <c r="P233" s="156">
        <v>0</v>
      </c>
      <c r="Q233" s="156" t="s">
        <v>435</v>
      </c>
      <c r="R233" s="156" t="s">
        <v>58</v>
      </c>
      <c r="S233" s="19">
        <f t="shared" si="210"/>
        <v>36</v>
      </c>
      <c r="T233" s="19">
        <v>0.5</v>
      </c>
      <c r="U233" s="19">
        <v>2016</v>
      </c>
      <c r="V233" s="19" t="e">
        <v>#N/A</v>
      </c>
      <c r="W233" s="28" t="s">
        <v>59</v>
      </c>
      <c r="X233" s="19" t="e">
        <v>#N/A</v>
      </c>
      <c r="Y233" s="105">
        <f ca="1">IFERROR(OFFSET(Tab.Const.ConstrBorder!$A$1,MATCH(Q233,Tab.Const.ConstrBorder!$A:$A,0)-1,MATCH(Y$87,Tab.Const.ConstrBorder!$1:$1,0)-1),0)</f>
        <v>0</v>
      </c>
      <c r="Z233" s="18">
        <f t="shared" si="188"/>
        <v>1960</v>
      </c>
      <c r="AA233" s="17">
        <f>MATCH(Z233,Tab.Year.Period!$11:$11,1)-3</f>
        <v>5</v>
      </c>
      <c r="AB233" s="17">
        <f>MATCH(AB$88&amp;"."&amp;TEXT(AA233,"00"),Tab.U.Default!$A:$A,0)</f>
        <v>28</v>
      </c>
      <c r="AC233" s="105">
        <f ca="1">OFFSET(Tab.U.Default!$A$1,$AB233-1,MATCH("U_Class_"&amp;IF($J233="TopCeiling","UpperCeiling",$J233)&amp;"_"&amp;AC$87,Tab.U.Default!$1:$1,0)-1)</f>
        <v>1.2</v>
      </c>
      <c r="AD233" s="105">
        <f ca="1">OFFSET(Tab.U.Default!$A$1,$AB233-1,MATCH("U_Class_"&amp;IF($J233="TopCeiling","UpperCeiling",$J233)&amp;"_"&amp;AD$87,Tab.U.Default!$1:$1,0)-1)</f>
        <v>1.2</v>
      </c>
      <c r="AE233" s="105">
        <f ca="1">OFFSET(Tab.U.Default!$A$1,$AB233-1,MATCH("U_Class_"&amp;IF($J233="TopCeiling","UpperCeiling",$J233)&amp;"_"&amp;AE$87,Tab.U.Default!$1:$1,0)-1)</f>
        <v>0.8</v>
      </c>
      <c r="AF233" s="26">
        <f t="shared" ca="1" si="189"/>
        <v>1.2</v>
      </c>
      <c r="AG233" s="26">
        <f t="shared" ca="1" si="190"/>
        <v>1.2</v>
      </c>
      <c r="AH233" s="18" t="str">
        <f t="shared" si="211"/>
        <v>Refurbish</v>
      </c>
      <c r="AI233" s="18" t="str">
        <f t="shared" si="191"/>
        <v>Add</v>
      </c>
      <c r="AJ233" s="18">
        <f t="shared" si="192"/>
        <v>2016</v>
      </c>
      <c r="AK233" s="17">
        <f>MATCH(AJ233,Tab.Year.Period!$11:$11,1)-3</f>
        <v>12</v>
      </c>
      <c r="AL233" s="17">
        <f>MATCH(AL$88&amp;"."&amp;TEXT(AK233,"00"),Tab.Insulation.Default!$A:$A,0)</f>
        <v>23</v>
      </c>
      <c r="AM233" s="20" t="e">
        <f ca="1">IF(ISNA(IF(S233="",#N/A,S233)),OFFSET(Tab.Insulation.Default!$A$1,$AL233-1,MATCH(AM$87&amp;"_"&amp;$K233,Tab.Insulation.Default!$1:$1,0)-1),#N/A)</f>
        <v>#N/A</v>
      </c>
      <c r="AN233" s="27">
        <f t="shared" si="193"/>
        <v>36</v>
      </c>
      <c r="AO233" s="22">
        <f ca="1">IF(ISNA(IF(V233="",#N/A,V233)),OFFSET(Tab.Insulation.Default!$A$1,$AL233-1,MATCH(AO$87&amp;"_"&amp;$K233,Tab.Insulation.Default!$1:$1,0)-1),#N/A)</f>
        <v>3.5000000000000003E-2</v>
      </c>
      <c r="AP233" s="23">
        <f t="shared" ca="1" si="194"/>
        <v>3.5000000000000003E-2</v>
      </c>
      <c r="AQ233" s="29" t="str">
        <f t="shared" si="212"/>
        <v>Gen.Refurbished.12</v>
      </c>
      <c r="AR233" s="17">
        <f>MATCH(AR$88&amp;"."&amp;AQ233,Tab.Measure.f.Default!$A:$A,0)</f>
        <v>23</v>
      </c>
      <c r="AS233" s="21">
        <f ca="1">OFFSET(Tab.Measure.f.Default!$A$1,AR233-1,MATCH(AS$87&amp;"_"&amp;$J233,Tab.Measure.f.Default!$1:$1,0)-1)</f>
        <v>0.75</v>
      </c>
      <c r="AT233" s="29" t="str">
        <f t="shared" si="213"/>
        <v>MUH.NA.05</v>
      </c>
      <c r="AU233" s="17">
        <f>MATCH(AU$88&amp;"."&amp;AT233,Tab.Measure.f.Default!$A:$A,0)</f>
        <v>40</v>
      </c>
      <c r="AV233" s="21">
        <f ca="1">OFFSET(Tab.Measure.f.Default!$A$1,AU233-1,MATCH(AV$87&amp;"_"&amp;$J233,Tab.Measure.f.Default!$1:$1,0)-1)</f>
        <v>0.37</v>
      </c>
      <c r="AW233" s="30">
        <f t="shared" si="195"/>
        <v>0.5</v>
      </c>
      <c r="AX233" s="9">
        <f t="shared" ca="1" si="214"/>
        <v>0.83333333333333337</v>
      </c>
      <c r="AY233" s="9">
        <f t="shared" ca="1" si="215"/>
        <v>10.285714285714285</v>
      </c>
      <c r="AZ233" s="9">
        <f t="shared" ca="1" si="196"/>
        <v>11.119047619047619</v>
      </c>
      <c r="BA233" s="9">
        <f t="shared" ca="1" si="197"/>
        <v>8.9935760171306209E-2</v>
      </c>
      <c r="BB233" s="9">
        <f t="shared" ca="1" si="216"/>
        <v>0.64496788008565309</v>
      </c>
      <c r="BC233" s="32" t="str">
        <f t="shared" si="217"/>
        <v>D</v>
      </c>
      <c r="BD233" s="20" t="str">
        <f ca="1">OFFSET(Tab.Uncertainty.Levels!$A$1,MATCH(BD$88,Tab.Uncertainty.Levels!$A:$A,0)-1,MATCH(BD$87&amp;"_"&amp;BC233,Tab.Uncertainty.Levels!$1:$1,0)-1)</f>
        <v>Use of default values; building constructed until 1983</v>
      </c>
      <c r="BE233" s="24">
        <f ca="1">OFFSET(Tab.Uncertainty.Levels!$A$1,MATCH(BE$88,Tab.Uncertainty.Levels!$A:$A,0)-1,MATCH(BE$87&amp;"_"&amp;BC233,Tab.Uncertainty.Levels!$1:$1,0)-1)</f>
        <v>0.3</v>
      </c>
      <c r="BF233" s="32" t="str">
        <f t="shared" si="218"/>
        <v>-</v>
      </c>
      <c r="BG233" s="20" t="e">
        <f ca="1">OFFSET(Tab.Uncertainty.Levels!$A$1,MATCH(BG$88,Tab.Uncertainty.Levels!$A:$A,0)-1,MATCH(BG$87&amp;"_"&amp;BF233,Tab.Uncertainty.Levels!$1:$1,0)-1)</f>
        <v>#N/A</v>
      </c>
      <c r="BH233" s="24" t="e">
        <f ca="1">OFFSET(Tab.Uncertainty.Levels!$A$1,MATCH(BH$88,Tab.Uncertainty.Levels!$A:$A,0)-1,MATCH(BH$87&amp;"_"&amp;BF233,Tab.Uncertainty.Levels!$1:$1,0)-1)</f>
        <v>#N/A</v>
      </c>
      <c r="BI233" s="32" t="str">
        <f t="shared" si="224"/>
        <v>D</v>
      </c>
      <c r="BJ233" s="13">
        <f ca="1">IF(BF233="-",BE233,BH233)</f>
        <v>0.3</v>
      </c>
      <c r="BK233" s="32" t="str">
        <f>IF(OR($L233="NoDataSource",IFERROR(IF($S233="",#N/A,$S233),0)=0),IF(IFERROR(IF(U233="",#N/A,U233),0)=0,"E","D"),IF($L233="DesignDataPlusQA","A",IF($L233="DesignData","B","C")))</f>
        <v>C</v>
      </c>
      <c r="BL233" s="20" t="str">
        <f ca="1">OFFSET(Tab.Uncertainty.Levels!$A$1,MATCH(BL$88,Tab.Uncertainty.Levels!$A:$A,0)-1,MATCH(BL$87&amp;"_"&amp;BK233,Tab.Uncertainty.Levels!$1:$1,0)-1)</f>
        <v>Insulation thickness determined by inspection onsite / record or statement of owner</v>
      </c>
      <c r="BM233" s="24">
        <f ca="1">OFFSET(Tab.Uncertainty.Levels!$A$1,MATCH(BM$88,Tab.Uncertainty.Levels!$A:$A,0)-1,MATCH(BM$87&amp;"_"&amp;BK233,Tab.Uncertainty.Levels!$1:$1,0)-1)</f>
        <v>0.25</v>
      </c>
      <c r="BN233" s="34">
        <f ca="1">OFFSET(Tab.Uncertainty.Levels!$A$1,MATCH(BN$88,Tab.Uncertainty.Levels!$A:$A,0)-1,MATCH(BN$87&amp;"_"&amp;BK233,Tab.Uncertainty.Levels!$1:$1,0)-1)</f>
        <v>2</v>
      </c>
      <c r="BO233" s="13">
        <f ca="1">IFERROR(MIN(BM233,BN233/AN233),0)</f>
        <v>5.5555555555555552E-2</v>
      </c>
      <c r="BP233" s="32" t="str">
        <f>IF(OR($L233="NoDataSource",IFERROR(IF($V233="",#N/A,$V233),0)=0),IF(IFERROR(IF(U233="",#N/A,U233),0)=0,"E","D"),IF($L233="DesignDataPlusQA","A",IF($L233="DesignData","B","C")))</f>
        <v>D</v>
      </c>
      <c r="BQ233" s="20" t="str">
        <f ca="1">OFFSET(Tab.Uncertainty.Levels!$A$1,MATCH(BQ$88,Tab.Uncertainty.Levels!$A:$A,0)-1,MATCH(BQ$87&amp;"_"&amp;BP233,Tab.Uncertainty.Levels!$1:$1,0)-1)</f>
        <v>Insulation available; no information about material</v>
      </c>
      <c r="BR233" s="97">
        <f ca="1">OFFSET(Tab.Uncertainty.Levels!$A$1,MATCH(BR$88,Tab.Uncertainty.Levels!$A:$A,0)-1,MATCH(BR$87&amp;"_"&amp;BP233,Tab.Uncertainty.Levels!$1:$1,0)-1)</f>
        <v>0.2</v>
      </c>
      <c r="BS233" s="32" t="str">
        <f>IF(L233="NoDataSource","D",IF(IFERROR(IF($T233="",#N/A,$T233),0)=0,IF(OR(IFERROR(IF($S233="",#N/A,$S233),0)&gt;0,$R233="Refurbish"),"D","E"),IF($L233="DesignDataPlusQA","A",IF($L233="DesignData","B","C"))))</f>
        <v>C</v>
      </c>
      <c r="BT233" s="20" t="str">
        <f ca="1">OFFSET(Tab.Uncertainty.Levels!$A$1,MATCH(BT$88,Tab.Uncertainty.Levels!$A:$A,0)-1,MATCH(BT$87&amp;"_"&amp;BS233,Tab.Uncertainty.Levels!$1:$1,0)-1)</f>
        <v>Insulation fraction determined by inspection onsite / record or statement of owner</v>
      </c>
      <c r="BU233" s="33">
        <f ca="1">OFFSET(Tab.Uncertainty.Levels!$A$1,MATCH(BU$88,Tab.Uncertainty.Levels!$A:$A,0)-1,MATCH(BU$87&amp;"_"&amp;BS233,Tab.Uncertainty.Levels!$1:$1,0)-1)</f>
        <v>0.2</v>
      </c>
      <c r="BV233" s="13">
        <f ca="1">IFERROR(MIN(BU233/AW233,1,(1-AW233)/AW233),0)</f>
        <v>0.4</v>
      </c>
      <c r="BW233" s="96">
        <f ca="1">ABS(1+(AW233*(1/(1+AN233/100/AP233*AG233)^2-1)))*BJ233*$AG233</f>
        <v>0.18101105511969881</v>
      </c>
      <c r="BX233" s="96">
        <f ca="1">ABS(-AG233+1/(1/AG233+AN233/100/AP233))*BV233*AW233</f>
        <v>0.22201284796573875</v>
      </c>
      <c r="BY233" s="96">
        <f ca="1">ABS(-AW233*AP233/((AP233/AG233+AN233/100)^2))*(BO233*AN233/100)</f>
        <v>2.3109831307402025E-3</v>
      </c>
      <c r="BZ233" s="202">
        <f ca="1">ABS(AW233*AN233/100/(1/AG233*AP233+AN233/100)^2)*(BR233*AP233)</f>
        <v>8.3195392706647293E-3</v>
      </c>
      <c r="CA233" s="103">
        <f t="shared" ca="1" si="198"/>
        <v>0.28658203382995168</v>
      </c>
      <c r="CB233" s="37">
        <f t="shared" ca="1" si="219"/>
        <v>0.28065127072011736</v>
      </c>
      <c r="CC233" s="37">
        <f t="shared" ca="1" si="220"/>
        <v>0.34422310756972113</v>
      </c>
      <c r="CD233" s="37">
        <f t="shared" ca="1" si="221"/>
        <v>3.5830980147930763E-3</v>
      </c>
      <c r="CE233" s="37">
        <f t="shared" ca="1" si="222"/>
        <v>1.2899152853255075E-2</v>
      </c>
      <c r="CF233" s="13">
        <f t="shared" ca="1" si="223"/>
        <v>0.44433535789703671</v>
      </c>
      <c r="CG233" s="101">
        <f ca="1">AG233</f>
        <v>1.2</v>
      </c>
      <c r="CH233" s="101">
        <f>AW233</f>
        <v>0.5</v>
      </c>
      <c r="CI233" s="203">
        <f>IF(CH233&gt;0,AN233,0)</f>
        <v>36</v>
      </c>
      <c r="CJ233" s="102">
        <f ca="1">IF(AND(CH233&gt;0,CI233&gt;0),AP233,0)</f>
        <v>3.5000000000000003E-2</v>
      </c>
      <c r="CK233" s="102">
        <f ca="1">BB233</f>
        <v>0.64496788008565309</v>
      </c>
      <c r="CL233" s="37">
        <f t="shared" ca="1" si="199"/>
        <v>0.3</v>
      </c>
      <c r="CM233" s="37">
        <f t="shared" ca="1" si="200"/>
        <v>0.4</v>
      </c>
      <c r="CN233" s="37">
        <f t="shared" ca="1" si="201"/>
        <v>5.5555555555555552E-2</v>
      </c>
      <c r="CO233" s="37">
        <f t="shared" ca="1" si="202"/>
        <v>0.2</v>
      </c>
      <c r="CP233" s="37">
        <f t="shared" ca="1" si="203"/>
        <v>0.44433535789703671</v>
      </c>
      <c r="CQ233" s="95">
        <f t="shared" ca="1" si="204"/>
        <v>0.36</v>
      </c>
      <c r="CR233" s="95">
        <f t="shared" ca="1" si="205"/>
        <v>0.2</v>
      </c>
      <c r="CS233" s="95">
        <f t="shared" ca="1" si="206"/>
        <v>2</v>
      </c>
      <c r="CT233" s="103">
        <f t="shared" ca="1" si="207"/>
        <v>7.000000000000001E-3</v>
      </c>
      <c r="CU233" s="95">
        <f t="shared" ca="1" si="208"/>
        <v>0.28658203382995173</v>
      </c>
      <c r="CV233" s="37">
        <f ca="1">$CB233^2/$CF233^2</f>
        <v>0.39894431329508934</v>
      </c>
      <c r="CW233" s="37">
        <f ca="1">$CD233^2/$CF233^2</f>
        <v>6.5027286171710893E-5</v>
      </c>
      <c r="CX233" s="37">
        <f ca="1">$CE233^2/$CF233^2</f>
        <v>8.4275362878537317E-4</v>
      </c>
      <c r="CY233" s="37">
        <f ca="1">$CC233^2/$CF233^2</f>
        <v>0.60014790578995347</v>
      </c>
      <c r="DA233" s="98" t="s">
        <v>214</v>
      </c>
      <c r="DB233" s="36">
        <f ca="1">OFFSET($A$1,ROW(DB233)-1,MATCH(DA233,$1:$1,0)-1)</f>
        <v>36</v>
      </c>
      <c r="DC233" s="9">
        <f ca="1">BB233</f>
        <v>0.64496788008565309</v>
      </c>
      <c r="DD233" s="9">
        <f ca="1">$DC233+$CA233</f>
        <v>0.93154991391560471</v>
      </c>
      <c r="DE233" s="9">
        <f ca="1">$DC233-$CA233</f>
        <v>0.35838584625570141</v>
      </c>
      <c r="DF233" s="10">
        <f t="shared" ca="1" si="181"/>
        <v>0.44433535789703654</v>
      </c>
    </row>
    <row r="234" spans="1:110" s="8" customFormat="1" ht="32.4" customHeight="1">
      <c r="A234" s="206" t="s">
        <v>670</v>
      </c>
      <c r="B234" s="208" t="s">
        <v>2346</v>
      </c>
      <c r="C234" s="206" t="str">
        <f t="shared" si="186"/>
        <v>Parameter-Variation: d_Insulation = 40 cm</v>
      </c>
      <c r="D234" s="206"/>
      <c r="E234" s="206" t="s">
        <v>198</v>
      </c>
      <c r="F234" s="206" t="str">
        <f t="shared" si="209"/>
        <v>40 cm</v>
      </c>
      <c r="G234" s="206" t="s">
        <v>2170</v>
      </c>
      <c r="H234" s="206" t="s">
        <v>2171</v>
      </c>
      <c r="I234" s="156" t="s">
        <v>80</v>
      </c>
      <c r="J234" s="156" t="s">
        <v>134</v>
      </c>
      <c r="K234" s="156" t="s">
        <v>155</v>
      </c>
      <c r="L234" s="156" t="s">
        <v>66</v>
      </c>
      <c r="M234" s="156" t="s">
        <v>188</v>
      </c>
      <c r="N234" s="7">
        <v>1960</v>
      </c>
      <c r="O234" s="156">
        <v>1</v>
      </c>
      <c r="P234" s="156">
        <v>0</v>
      </c>
      <c r="Q234" s="156" t="s">
        <v>435</v>
      </c>
      <c r="R234" s="156" t="s">
        <v>58</v>
      </c>
      <c r="S234" s="19">
        <f t="shared" si="210"/>
        <v>40</v>
      </c>
      <c r="T234" s="19">
        <v>0.5</v>
      </c>
      <c r="U234" s="19">
        <v>2016</v>
      </c>
      <c r="V234" s="19" t="e">
        <v>#N/A</v>
      </c>
      <c r="W234" s="28" t="s">
        <v>59</v>
      </c>
      <c r="X234" s="19" t="e">
        <v>#N/A</v>
      </c>
      <c r="Y234" s="105">
        <f ca="1">IFERROR(OFFSET(Tab.Const.ConstrBorder!$A$1,MATCH(Q234,Tab.Const.ConstrBorder!$A:$A,0)-1,MATCH(Y$87,Tab.Const.ConstrBorder!$1:$1,0)-1),0)</f>
        <v>0</v>
      </c>
      <c r="Z234" s="18">
        <f t="shared" si="188"/>
        <v>1960</v>
      </c>
      <c r="AA234" s="17">
        <f>MATCH(Z234,Tab.Year.Period!$11:$11,1)-3</f>
        <v>5</v>
      </c>
      <c r="AB234" s="17">
        <f>MATCH(AB$88&amp;"."&amp;TEXT(AA234,"00"),Tab.U.Default!$A:$A,0)</f>
        <v>28</v>
      </c>
      <c r="AC234" s="105">
        <f ca="1">OFFSET(Tab.U.Default!$A$1,$AB234-1,MATCH("U_Class_"&amp;IF($J234="TopCeiling","UpperCeiling",$J234)&amp;"_"&amp;AC$87,Tab.U.Default!$1:$1,0)-1)</f>
        <v>1.2</v>
      </c>
      <c r="AD234" s="105">
        <f ca="1">OFFSET(Tab.U.Default!$A$1,$AB234-1,MATCH("U_Class_"&amp;IF($J234="TopCeiling","UpperCeiling",$J234)&amp;"_"&amp;AD$87,Tab.U.Default!$1:$1,0)-1)</f>
        <v>1.2</v>
      </c>
      <c r="AE234" s="105">
        <f ca="1">OFFSET(Tab.U.Default!$A$1,$AB234-1,MATCH("U_Class_"&amp;IF($J234="TopCeiling","UpperCeiling",$J234)&amp;"_"&amp;AE$87,Tab.U.Default!$1:$1,0)-1)</f>
        <v>0.8</v>
      </c>
      <c r="AF234" s="26">
        <f t="shared" ca="1" si="189"/>
        <v>1.2</v>
      </c>
      <c r="AG234" s="26">
        <f t="shared" ca="1" si="190"/>
        <v>1.2</v>
      </c>
      <c r="AH234" s="18" t="str">
        <f t="shared" si="211"/>
        <v>Refurbish</v>
      </c>
      <c r="AI234" s="18" t="str">
        <f t="shared" si="191"/>
        <v>Add</v>
      </c>
      <c r="AJ234" s="18">
        <f t="shared" si="192"/>
        <v>2016</v>
      </c>
      <c r="AK234" s="17">
        <f>MATCH(AJ234,Tab.Year.Period!$11:$11,1)-3</f>
        <v>12</v>
      </c>
      <c r="AL234" s="17">
        <f>MATCH(AL$88&amp;"."&amp;TEXT(AK234,"00"),Tab.Insulation.Default!$A:$A,0)</f>
        <v>23</v>
      </c>
      <c r="AM234" s="20" t="e">
        <f ca="1">IF(ISNA(IF(S234="",#N/A,S234)),OFFSET(Tab.Insulation.Default!$A$1,$AL234-1,MATCH(AM$87&amp;"_"&amp;$K234,Tab.Insulation.Default!$1:$1,0)-1),#N/A)</f>
        <v>#N/A</v>
      </c>
      <c r="AN234" s="27">
        <f t="shared" si="193"/>
        <v>40</v>
      </c>
      <c r="AO234" s="22">
        <f ca="1">IF(ISNA(IF(V234="",#N/A,V234)),OFFSET(Tab.Insulation.Default!$A$1,$AL234-1,MATCH(AO$87&amp;"_"&amp;$K234,Tab.Insulation.Default!$1:$1,0)-1),#N/A)</f>
        <v>3.5000000000000003E-2</v>
      </c>
      <c r="AP234" s="23">
        <f t="shared" ca="1" si="194"/>
        <v>3.5000000000000003E-2</v>
      </c>
      <c r="AQ234" s="29" t="str">
        <f t="shared" si="212"/>
        <v>Gen.Refurbished.12</v>
      </c>
      <c r="AR234" s="17">
        <f>MATCH(AR$88&amp;"."&amp;AQ234,Tab.Measure.f.Default!$A:$A,0)</f>
        <v>23</v>
      </c>
      <c r="AS234" s="21">
        <f ca="1">OFFSET(Tab.Measure.f.Default!$A$1,AR234-1,MATCH(AS$87&amp;"_"&amp;$J234,Tab.Measure.f.Default!$1:$1,0)-1)</f>
        <v>0.75</v>
      </c>
      <c r="AT234" s="29" t="str">
        <f t="shared" si="213"/>
        <v>MUH.NA.05</v>
      </c>
      <c r="AU234" s="17">
        <f>MATCH(AU$88&amp;"."&amp;AT234,Tab.Measure.f.Default!$A:$A,0)</f>
        <v>40</v>
      </c>
      <c r="AV234" s="21">
        <f ca="1">OFFSET(Tab.Measure.f.Default!$A$1,AU234-1,MATCH(AV$87&amp;"_"&amp;$J234,Tab.Measure.f.Default!$1:$1,0)-1)</f>
        <v>0.37</v>
      </c>
      <c r="AW234" s="30">
        <f t="shared" si="195"/>
        <v>0.5</v>
      </c>
      <c r="AX234" s="9">
        <f t="shared" ca="1" si="214"/>
        <v>0.83333333333333337</v>
      </c>
      <c r="AY234" s="9">
        <f t="shared" ca="1" si="215"/>
        <v>11.428571428571429</v>
      </c>
      <c r="AZ234" s="9">
        <f t="shared" ca="1" si="196"/>
        <v>12.261904761904763</v>
      </c>
      <c r="BA234" s="9">
        <f t="shared" ca="1" si="197"/>
        <v>8.1553398058252416E-2</v>
      </c>
      <c r="BB234" s="9">
        <f t="shared" ca="1" si="216"/>
        <v>0.64077669902912615</v>
      </c>
      <c r="BC234" s="32" t="str">
        <f t="shared" si="217"/>
        <v>D</v>
      </c>
      <c r="BD234" s="20" t="str">
        <f ca="1">OFFSET(Tab.Uncertainty.Levels!$A$1,MATCH(BD$88,Tab.Uncertainty.Levels!$A:$A,0)-1,MATCH(BD$87&amp;"_"&amp;BC234,Tab.Uncertainty.Levels!$1:$1,0)-1)</f>
        <v>Use of default values; building constructed until 1983</v>
      </c>
      <c r="BE234" s="24">
        <f ca="1">OFFSET(Tab.Uncertainty.Levels!$A$1,MATCH(BE$88,Tab.Uncertainty.Levels!$A:$A,0)-1,MATCH(BE$87&amp;"_"&amp;BC234,Tab.Uncertainty.Levels!$1:$1,0)-1)</f>
        <v>0.3</v>
      </c>
      <c r="BF234" s="32" t="str">
        <f t="shared" si="218"/>
        <v>-</v>
      </c>
      <c r="BG234" s="20" t="e">
        <f ca="1">OFFSET(Tab.Uncertainty.Levels!$A$1,MATCH(BG$88,Tab.Uncertainty.Levels!$A:$A,0)-1,MATCH(BG$87&amp;"_"&amp;BF234,Tab.Uncertainty.Levels!$1:$1,0)-1)</f>
        <v>#N/A</v>
      </c>
      <c r="BH234" s="24" t="e">
        <f ca="1">OFFSET(Tab.Uncertainty.Levels!$A$1,MATCH(BH$88,Tab.Uncertainty.Levels!$A:$A,0)-1,MATCH(BH$87&amp;"_"&amp;BF234,Tab.Uncertainty.Levels!$1:$1,0)-1)</f>
        <v>#N/A</v>
      </c>
      <c r="BI234" s="32" t="str">
        <f t="shared" si="224"/>
        <v>D</v>
      </c>
      <c r="BJ234" s="13">
        <f ca="1">IF(BF234="-",BE234,BH234)</f>
        <v>0.3</v>
      </c>
      <c r="BK234" s="32" t="str">
        <f>IF(OR($L234="NoDataSource",IFERROR(IF($S234="",#N/A,$S234),0)=0),IF(IFERROR(IF(U234="",#N/A,U234),0)=0,"E","D"),IF($L234="DesignDataPlusQA","A",IF($L234="DesignData","B","C")))</f>
        <v>C</v>
      </c>
      <c r="BL234" s="20" t="str">
        <f ca="1">OFFSET(Tab.Uncertainty.Levels!$A$1,MATCH(BL$88,Tab.Uncertainty.Levels!$A:$A,0)-1,MATCH(BL$87&amp;"_"&amp;BK234,Tab.Uncertainty.Levels!$1:$1,0)-1)</f>
        <v>Insulation thickness determined by inspection onsite / record or statement of owner</v>
      </c>
      <c r="BM234" s="24">
        <f ca="1">OFFSET(Tab.Uncertainty.Levels!$A$1,MATCH(BM$88,Tab.Uncertainty.Levels!$A:$A,0)-1,MATCH(BM$87&amp;"_"&amp;BK234,Tab.Uncertainty.Levels!$1:$1,0)-1)</f>
        <v>0.25</v>
      </c>
      <c r="BN234" s="34">
        <f ca="1">OFFSET(Tab.Uncertainty.Levels!$A$1,MATCH(BN$88,Tab.Uncertainty.Levels!$A:$A,0)-1,MATCH(BN$87&amp;"_"&amp;BK234,Tab.Uncertainty.Levels!$1:$1,0)-1)</f>
        <v>2</v>
      </c>
      <c r="BO234" s="13">
        <f ca="1">IFERROR(MIN(BM234,BN234/AN234),0)</f>
        <v>0.05</v>
      </c>
      <c r="BP234" s="32" t="str">
        <f>IF(OR($L234="NoDataSource",IFERROR(IF($V234="",#N/A,$V234),0)=0),IF(IFERROR(IF(U234="",#N/A,U234),0)=0,"E","D"),IF($L234="DesignDataPlusQA","A",IF($L234="DesignData","B","C")))</f>
        <v>D</v>
      </c>
      <c r="BQ234" s="20" t="str">
        <f ca="1">OFFSET(Tab.Uncertainty.Levels!$A$1,MATCH(BQ$88,Tab.Uncertainty.Levels!$A:$A,0)-1,MATCH(BQ$87&amp;"_"&amp;BP234,Tab.Uncertainty.Levels!$1:$1,0)-1)</f>
        <v>Insulation available; no information about material</v>
      </c>
      <c r="BR234" s="97">
        <f ca="1">OFFSET(Tab.Uncertainty.Levels!$A$1,MATCH(BR$88,Tab.Uncertainty.Levels!$A:$A,0)-1,MATCH(BR$87&amp;"_"&amp;BP234,Tab.Uncertainty.Levels!$1:$1,0)-1)</f>
        <v>0.2</v>
      </c>
      <c r="BS234" s="32" t="str">
        <f>IF(L234="NoDataSource","D",IF(IFERROR(IF($T234="",#N/A,$T234),0)=0,IF(OR(IFERROR(IF($S234="",#N/A,$S234),0)&gt;0,$R234="Refurbish"),"D","E"),IF($L234="DesignDataPlusQA","A",IF($L234="DesignData","B","C"))))</f>
        <v>C</v>
      </c>
      <c r="BT234" s="20" t="str">
        <f ca="1">OFFSET(Tab.Uncertainty.Levels!$A$1,MATCH(BT$88,Tab.Uncertainty.Levels!$A:$A,0)-1,MATCH(BT$87&amp;"_"&amp;BS234,Tab.Uncertainty.Levels!$1:$1,0)-1)</f>
        <v>Insulation fraction determined by inspection onsite / record or statement of owner</v>
      </c>
      <c r="BU234" s="33">
        <f ca="1">OFFSET(Tab.Uncertainty.Levels!$A$1,MATCH(BU$88,Tab.Uncertainty.Levels!$A:$A,0)-1,MATCH(BU$87&amp;"_"&amp;BS234,Tab.Uncertainty.Levels!$1:$1,0)-1)</f>
        <v>0.2</v>
      </c>
      <c r="BV234" s="13">
        <f ca="1">IFERROR(MIN(BU234/AW234,1,(1-AW234)/AW234),0)</f>
        <v>0.4</v>
      </c>
      <c r="BW234" s="96">
        <f ca="1">ABS(1+(AW234*(1/(1+AN234/100/AP234*AG234)^2-1)))*BJ234*$AG234</f>
        <v>0.18083136959185594</v>
      </c>
      <c r="BX234" s="96">
        <f ca="1">ABS(-AG234+1/(1/AG234+AN234/100/AP234))*BV234*AW234</f>
        <v>0.22368932038834954</v>
      </c>
      <c r="BY234" s="96">
        <f ca="1">ABS(-AW234*AP234/((AP234/AG234+AN234/100)^2))*(BO234*AN234/100)</f>
        <v>1.9002733528136488E-3</v>
      </c>
      <c r="BZ234" s="202">
        <f ca="1">ABS(AW234*AN234/100/(1/AG234*AP234+AN234/100)^2)*(BR234*AP234)</f>
        <v>7.6010934112545944E-3</v>
      </c>
      <c r="CA234" s="103">
        <f t="shared" ca="1" si="198"/>
        <v>0.28774690953011139</v>
      </c>
      <c r="CB234" s="37">
        <f t="shared" ca="1" si="219"/>
        <v>0.28220653133274493</v>
      </c>
      <c r="CC234" s="37">
        <f t="shared" ca="1" si="220"/>
        <v>0.34909090909090917</v>
      </c>
      <c r="CD234" s="37">
        <f t="shared" ca="1" si="221"/>
        <v>2.9655781112091794E-3</v>
      </c>
      <c r="CE234" s="37">
        <f t="shared" ca="1" si="222"/>
        <v>1.1862312444836716E-2</v>
      </c>
      <c r="CF234" s="13">
        <f t="shared" ca="1" si="223"/>
        <v>0.44905957093335575</v>
      </c>
      <c r="CG234" s="101">
        <f ca="1">AG234</f>
        <v>1.2</v>
      </c>
      <c r="CH234" s="101">
        <f>AW234</f>
        <v>0.5</v>
      </c>
      <c r="CI234" s="203">
        <f>IF(CH234&gt;0,AN234,0)</f>
        <v>40</v>
      </c>
      <c r="CJ234" s="102">
        <f ca="1">IF(AND(CH234&gt;0,CI234&gt;0),AP234,0)</f>
        <v>3.5000000000000003E-2</v>
      </c>
      <c r="CK234" s="102">
        <f ca="1">BB234</f>
        <v>0.64077669902912615</v>
      </c>
      <c r="CL234" s="37">
        <f t="shared" ca="1" si="199"/>
        <v>0.3</v>
      </c>
      <c r="CM234" s="37">
        <f t="shared" ca="1" si="200"/>
        <v>0.4</v>
      </c>
      <c r="CN234" s="37">
        <f t="shared" ca="1" si="201"/>
        <v>0.05</v>
      </c>
      <c r="CO234" s="37">
        <f t="shared" ca="1" si="202"/>
        <v>0.2</v>
      </c>
      <c r="CP234" s="37">
        <f t="shared" ca="1" si="203"/>
        <v>0.44905957093335575</v>
      </c>
      <c r="CQ234" s="95">
        <f t="shared" ca="1" si="204"/>
        <v>0.36</v>
      </c>
      <c r="CR234" s="95">
        <f t="shared" ca="1" si="205"/>
        <v>0.2</v>
      </c>
      <c r="CS234" s="95">
        <f t="shared" ca="1" si="206"/>
        <v>2</v>
      </c>
      <c r="CT234" s="103">
        <f t="shared" ca="1" si="207"/>
        <v>7.000000000000001E-3</v>
      </c>
      <c r="CU234" s="95">
        <f t="shared" ca="1" si="208"/>
        <v>0.28774690953011139</v>
      </c>
      <c r="CV234" s="37">
        <f ca="1">$CB234^2/$CF234^2</f>
        <v>0.39493553091669636</v>
      </c>
      <c r="CW234" s="37">
        <f ca="1">$CD234^2/$CF234^2</f>
        <v>4.3612483778652346E-5</v>
      </c>
      <c r="CX234" s="37">
        <f ca="1">$CE234^2/$CF234^2</f>
        <v>6.9779974045843733E-4</v>
      </c>
      <c r="CY234" s="37">
        <f ca="1">$CC234^2/$CF234^2</f>
        <v>0.60432305685906662</v>
      </c>
      <c r="DA234" s="98" t="s">
        <v>214</v>
      </c>
      <c r="DB234" s="36">
        <f ca="1">OFFSET($A$1,ROW(DB234)-1,MATCH(DA234,$1:$1,0)-1)</f>
        <v>40</v>
      </c>
      <c r="DC234" s="9">
        <f ca="1">BB234</f>
        <v>0.64077669902912615</v>
      </c>
      <c r="DD234" s="9">
        <f ca="1">$DC234+$CA234</f>
        <v>0.92852360855923755</v>
      </c>
      <c r="DE234" s="9">
        <f ca="1">$DC234-$CA234</f>
        <v>0.35302978949901476</v>
      </c>
      <c r="DF234" s="10">
        <f t="shared" ca="1" si="181"/>
        <v>0.44905957093335569</v>
      </c>
    </row>
    <row r="235" spans="1:110" s="8" customFormat="1" ht="32.4" customHeight="1">
      <c r="A235" s="206" t="s">
        <v>671</v>
      </c>
      <c r="B235" s="208" t="s">
        <v>2346</v>
      </c>
      <c r="C235" s="206" t="str">
        <f t="shared" si="186"/>
        <v>Parameter-Variation: Lambda_Insulation_Effective = NA</v>
      </c>
      <c r="D235" s="206"/>
      <c r="E235" s="206" t="s">
        <v>200</v>
      </c>
      <c r="F235" s="206" t="str">
        <f>IFERROR(TEXT(V235,"0,000")&amp;" W/(m·K)","NA")</f>
        <v>NA</v>
      </c>
      <c r="G235" s="206" t="s">
        <v>2170</v>
      </c>
      <c r="H235" s="206" t="s">
        <v>2171</v>
      </c>
      <c r="I235" s="156" t="s">
        <v>80</v>
      </c>
      <c r="J235" s="156" t="s">
        <v>134</v>
      </c>
      <c r="K235" s="156" t="s">
        <v>155</v>
      </c>
      <c r="L235" s="156" t="s">
        <v>66</v>
      </c>
      <c r="M235" s="156" t="s">
        <v>188</v>
      </c>
      <c r="N235" s="7">
        <v>1960</v>
      </c>
      <c r="O235" s="156">
        <v>1</v>
      </c>
      <c r="P235" s="156">
        <v>0</v>
      </c>
      <c r="Q235" s="156" t="s">
        <v>435</v>
      </c>
      <c r="R235" s="156" t="s">
        <v>58</v>
      </c>
      <c r="S235" s="19">
        <v>12</v>
      </c>
      <c r="T235" s="19">
        <v>0.5</v>
      </c>
      <c r="U235" s="19">
        <v>2016</v>
      </c>
      <c r="V235" s="19" t="e">
        <v>#N/A</v>
      </c>
      <c r="W235" s="28" t="s">
        <v>59</v>
      </c>
      <c r="X235" s="19" t="e">
        <v>#N/A</v>
      </c>
      <c r="Y235" s="105">
        <f ca="1">IFERROR(OFFSET(Tab.Const.ConstrBorder!$A$1,MATCH(Q235,Tab.Const.ConstrBorder!$A:$A,0)-1,MATCH(Y$87,Tab.Const.ConstrBorder!$1:$1,0)-1),0)</f>
        <v>0</v>
      </c>
      <c r="Z235" s="18">
        <f t="shared" si="188"/>
        <v>1960</v>
      </c>
      <c r="AA235" s="17">
        <f>MATCH(Z235,Tab.Year.Period!$11:$11,1)-3</f>
        <v>5</v>
      </c>
      <c r="AB235" s="17">
        <f>MATCH(AB$88&amp;"."&amp;TEXT(AA235,"00"),Tab.U.Default!$A:$A,0)</f>
        <v>28</v>
      </c>
      <c r="AC235" s="105">
        <f ca="1">OFFSET(Tab.U.Default!$A$1,$AB235-1,MATCH("U_Class_"&amp;IF($J235="TopCeiling","UpperCeiling",$J235)&amp;"_"&amp;AC$87,Tab.U.Default!$1:$1,0)-1)</f>
        <v>1.2</v>
      </c>
      <c r="AD235" s="105">
        <f ca="1">OFFSET(Tab.U.Default!$A$1,$AB235-1,MATCH("U_Class_"&amp;IF($J235="TopCeiling","UpperCeiling",$J235)&amp;"_"&amp;AD$87,Tab.U.Default!$1:$1,0)-1)</f>
        <v>1.2</v>
      </c>
      <c r="AE235" s="105">
        <f ca="1">OFFSET(Tab.U.Default!$A$1,$AB235-1,MATCH("U_Class_"&amp;IF($J235="TopCeiling","UpperCeiling",$J235)&amp;"_"&amp;AE$87,Tab.U.Default!$1:$1,0)-1)</f>
        <v>0.8</v>
      </c>
      <c r="AF235" s="26">
        <f t="shared" ca="1" si="189"/>
        <v>1.2</v>
      </c>
      <c r="AG235" s="26">
        <f t="shared" ca="1" si="190"/>
        <v>1.2</v>
      </c>
      <c r="AH235" s="18" t="str">
        <f t="shared" si="211"/>
        <v>Refurbish</v>
      </c>
      <c r="AI235" s="18" t="str">
        <f t="shared" si="191"/>
        <v>Add</v>
      </c>
      <c r="AJ235" s="18">
        <f t="shared" si="192"/>
        <v>2016</v>
      </c>
      <c r="AK235" s="17">
        <f>MATCH(AJ235,Tab.Year.Period!$11:$11,1)-3</f>
        <v>12</v>
      </c>
      <c r="AL235" s="17">
        <f>MATCH(AL$88&amp;"."&amp;TEXT(AK235,"00"),Tab.Insulation.Default!$A:$A,0)</f>
        <v>23</v>
      </c>
      <c r="AM235" s="20" t="e">
        <f ca="1">IF(ISNA(IF(S235="",#N/A,S235)),OFFSET(Tab.Insulation.Default!$A$1,$AL235-1,MATCH(AM$87&amp;"_"&amp;$K235,Tab.Insulation.Default!$1:$1,0)-1),#N/A)</f>
        <v>#N/A</v>
      </c>
      <c r="AN235" s="27">
        <f t="shared" si="193"/>
        <v>12</v>
      </c>
      <c r="AO235" s="22">
        <f ca="1">IF(ISNA(IF(V235="",#N/A,V235)),OFFSET(Tab.Insulation.Default!$A$1,$AL235-1,MATCH(AO$87&amp;"_"&amp;$K235,Tab.Insulation.Default!$1:$1,0)-1),#N/A)</f>
        <v>3.5000000000000003E-2</v>
      </c>
      <c r="AP235" s="23">
        <f t="shared" ca="1" si="194"/>
        <v>3.5000000000000003E-2</v>
      </c>
      <c r="AQ235" s="29" t="str">
        <f t="shared" si="212"/>
        <v>Gen.Refurbished.12</v>
      </c>
      <c r="AR235" s="17">
        <f>MATCH(AR$88&amp;"."&amp;AQ235,Tab.Measure.f.Default!$A:$A,0)</f>
        <v>23</v>
      </c>
      <c r="AS235" s="21">
        <f ca="1">OFFSET(Tab.Measure.f.Default!$A$1,AR235-1,MATCH(AS$87&amp;"_"&amp;$J235,Tab.Measure.f.Default!$1:$1,0)-1)</f>
        <v>0.75</v>
      </c>
      <c r="AT235" s="29" t="str">
        <f t="shared" si="213"/>
        <v>MUH.NA.05</v>
      </c>
      <c r="AU235" s="17">
        <f>MATCH(AU$88&amp;"."&amp;AT235,Tab.Measure.f.Default!$A:$A,0)</f>
        <v>40</v>
      </c>
      <c r="AV235" s="21">
        <f ca="1">OFFSET(Tab.Measure.f.Default!$A$1,AU235-1,MATCH(AV$87&amp;"_"&amp;$J235,Tab.Measure.f.Default!$1:$1,0)-1)</f>
        <v>0.37</v>
      </c>
      <c r="AW235" s="30">
        <f t="shared" si="195"/>
        <v>0.5</v>
      </c>
      <c r="AX235" s="9">
        <f t="shared" ca="1" si="214"/>
        <v>0.83333333333333337</v>
      </c>
      <c r="AY235" s="9">
        <f t="shared" ca="1" si="215"/>
        <v>3.4285714285714279</v>
      </c>
      <c r="AZ235" s="9">
        <f t="shared" ca="1" si="196"/>
        <v>4.261904761904761</v>
      </c>
      <c r="BA235" s="9">
        <f t="shared" ca="1" si="197"/>
        <v>0.23463687150837995</v>
      </c>
      <c r="BB235" s="9">
        <f t="shared" ca="1" si="216"/>
        <v>0.71731843575418996</v>
      </c>
      <c r="BC235" s="32" t="str">
        <f t="shared" si="217"/>
        <v>D</v>
      </c>
      <c r="BD235" s="20" t="str">
        <f ca="1">OFFSET(Tab.Uncertainty.Levels!$A$1,MATCH(BD$88,Tab.Uncertainty.Levels!$A:$A,0)-1,MATCH(BD$87&amp;"_"&amp;BC235,Tab.Uncertainty.Levels!$1:$1,0)-1)</f>
        <v>Use of default values; building constructed until 1983</v>
      </c>
      <c r="BE235" s="24">
        <f ca="1">OFFSET(Tab.Uncertainty.Levels!$A$1,MATCH(BE$88,Tab.Uncertainty.Levels!$A:$A,0)-1,MATCH(BE$87&amp;"_"&amp;BC235,Tab.Uncertainty.Levels!$1:$1,0)-1)</f>
        <v>0.3</v>
      </c>
      <c r="BF235" s="32" t="str">
        <f t="shared" si="218"/>
        <v>-</v>
      </c>
      <c r="BG235" s="20" t="e">
        <f ca="1">OFFSET(Tab.Uncertainty.Levels!$A$1,MATCH(BG$88,Tab.Uncertainty.Levels!$A:$A,0)-1,MATCH(BG$87&amp;"_"&amp;BF235,Tab.Uncertainty.Levels!$1:$1,0)-1)</f>
        <v>#N/A</v>
      </c>
      <c r="BH235" s="24" t="e">
        <f ca="1">OFFSET(Tab.Uncertainty.Levels!$A$1,MATCH(BH$88,Tab.Uncertainty.Levels!$A:$A,0)-1,MATCH(BH$87&amp;"_"&amp;BF235,Tab.Uncertainty.Levels!$1:$1,0)-1)</f>
        <v>#N/A</v>
      </c>
      <c r="BI235" s="32" t="str">
        <f t="shared" si="224"/>
        <v>D</v>
      </c>
      <c r="BJ235" s="13">
        <f ca="1">IF(BF235="-",BE235,BH235)</f>
        <v>0.3</v>
      </c>
      <c r="BK235" s="32" t="str">
        <f>IF(OR($L235="NoDataSource",IFERROR(IF($S235="",#N/A,$S235),0)=0),IF(IFERROR(IF(U235="",#N/A,U235),0)=0,"E","D"),IF($L235="DesignDataPlusQA","A",IF($L235="DesignData","B","C")))</f>
        <v>C</v>
      </c>
      <c r="BL235" s="20" t="str">
        <f ca="1">OFFSET(Tab.Uncertainty.Levels!$A$1,MATCH(BL$88,Tab.Uncertainty.Levels!$A:$A,0)-1,MATCH(BL$87&amp;"_"&amp;BK235,Tab.Uncertainty.Levels!$1:$1,0)-1)</f>
        <v>Insulation thickness determined by inspection onsite / record or statement of owner</v>
      </c>
      <c r="BM235" s="24">
        <f ca="1">OFFSET(Tab.Uncertainty.Levels!$A$1,MATCH(BM$88,Tab.Uncertainty.Levels!$A:$A,0)-1,MATCH(BM$87&amp;"_"&amp;BK235,Tab.Uncertainty.Levels!$1:$1,0)-1)</f>
        <v>0.25</v>
      </c>
      <c r="BN235" s="34">
        <f ca="1">OFFSET(Tab.Uncertainty.Levels!$A$1,MATCH(BN$88,Tab.Uncertainty.Levels!$A:$A,0)-1,MATCH(BN$87&amp;"_"&amp;BK235,Tab.Uncertainty.Levels!$1:$1,0)-1)</f>
        <v>2</v>
      </c>
      <c r="BO235" s="13">
        <f ca="1">IFERROR(MIN(BM235,BN235/AN235),0)</f>
        <v>0.16666666666666666</v>
      </c>
      <c r="BP235" s="32" t="str">
        <f>IF(OR($L235="NoDataSource",IFERROR(IF($V235="",#N/A,$V235),0)=0),IF(IFERROR(IF(U235="",#N/A,U235),0)=0,"E","D"),IF($L235="DesignDataPlusQA","A",IF($L235="DesignData","B","C")))</f>
        <v>D</v>
      </c>
      <c r="BQ235" s="20" t="str">
        <f ca="1">OFFSET(Tab.Uncertainty.Levels!$A$1,MATCH(BQ$88,Tab.Uncertainty.Levels!$A:$A,0)-1,MATCH(BQ$87&amp;"_"&amp;BP235,Tab.Uncertainty.Levels!$1:$1,0)-1)</f>
        <v>Insulation available; no information about material</v>
      </c>
      <c r="BR235" s="97">
        <f ca="1">OFFSET(Tab.Uncertainty.Levels!$A$1,MATCH(BR$88,Tab.Uncertainty.Levels!$A:$A,0)-1,MATCH(BR$87&amp;"_"&amp;BP235,Tab.Uncertainty.Levels!$1:$1,0)-1)</f>
        <v>0.2</v>
      </c>
      <c r="BS235" s="32" t="str">
        <f>IF(L235="NoDataSource","D",IF(IFERROR(IF($T235="",#N/A,$T235),0)=0,IF(OR(IFERROR(IF($S235="",#N/A,$S235),0)&gt;0,$R235="Refurbish"),"D","E"),IF($L235="DesignDataPlusQA","A",IF($L235="DesignData","B","C"))))</f>
        <v>C</v>
      </c>
      <c r="BT235" s="20" t="str">
        <f ca="1">OFFSET(Tab.Uncertainty.Levels!$A$1,MATCH(BT$88,Tab.Uncertainty.Levels!$A:$A,0)-1,MATCH(BT$87&amp;"_"&amp;BS235,Tab.Uncertainty.Levels!$1:$1,0)-1)</f>
        <v>Insulation fraction determined by inspection onsite / record or statement of owner</v>
      </c>
      <c r="BU235" s="33">
        <f ca="1">OFFSET(Tab.Uncertainty.Levels!$A$1,MATCH(BU$88,Tab.Uncertainty.Levels!$A:$A,0)-1,MATCH(BU$87&amp;"_"&amp;BS235,Tab.Uncertainty.Levels!$1:$1,0)-1)</f>
        <v>0.2</v>
      </c>
      <c r="BV235" s="13">
        <f ca="1">IFERROR(MIN(BU235/AW235,1,(1-AW235)/AW235),0)</f>
        <v>0.4</v>
      </c>
      <c r="BW235" s="96">
        <f ca="1">ABS(1+(AW235*(1/(1+AN235/100/AP235*AG235)^2-1)))*BJ235*$AG235</f>
        <v>0.186881807683905</v>
      </c>
      <c r="BX235" s="96">
        <f ca="1">ABS(-AG235+1/(1/AG235+AN235/100/AP235))*BV235*AW235</f>
        <v>0.19307262569832401</v>
      </c>
      <c r="BY235" s="96">
        <f ca="1">ABS(-AW235*AP235/((AP235/AG235+AN235/100)^2))*(BO235*AN235/100)</f>
        <v>1.5729846134639992E-2</v>
      </c>
      <c r="BZ235" s="202">
        <f ca="1">ABS(AW235*AN235/100/(1/AG235*AP235+AN235/100)^2)*(BR235*AP235)</f>
        <v>1.8875815361567995E-2</v>
      </c>
      <c r="CA235" s="103">
        <f t="shared" ca="1" si="198"/>
        <v>0.26982507908315828</v>
      </c>
      <c r="CB235" s="37">
        <f t="shared" ca="1" si="219"/>
        <v>0.26052837675559964</v>
      </c>
      <c r="CC235" s="37">
        <f t="shared" ca="1" si="220"/>
        <v>0.26915887850467285</v>
      </c>
      <c r="CD235" s="37">
        <f t="shared" ca="1" si="221"/>
        <v>2.1928679580222418E-2</v>
      </c>
      <c r="CE235" s="37">
        <f t="shared" ca="1" si="222"/>
        <v>2.6314415496266907E-2</v>
      </c>
      <c r="CF235" s="13">
        <f t="shared" ca="1" si="223"/>
        <v>0.37615801523275183</v>
      </c>
      <c r="CG235" s="101">
        <f ca="1">AG235</f>
        <v>1.2</v>
      </c>
      <c r="CH235" s="101">
        <f>AW235</f>
        <v>0.5</v>
      </c>
      <c r="CI235" s="203">
        <f>IF(CH235&gt;0,AN235,0)</f>
        <v>12</v>
      </c>
      <c r="CJ235" s="102">
        <f ca="1">IF(AND(CH235&gt;0,CI235&gt;0),AP235,0)</f>
        <v>3.5000000000000003E-2</v>
      </c>
      <c r="CK235" s="102">
        <f ca="1">BB235</f>
        <v>0.71731843575418996</v>
      </c>
      <c r="CL235" s="37">
        <f t="shared" ca="1" si="199"/>
        <v>0.3</v>
      </c>
      <c r="CM235" s="37">
        <f t="shared" ca="1" si="200"/>
        <v>0.4</v>
      </c>
      <c r="CN235" s="37">
        <f t="shared" ca="1" si="201"/>
        <v>0.16666666666666666</v>
      </c>
      <c r="CO235" s="37">
        <f t="shared" ca="1" si="202"/>
        <v>0.2</v>
      </c>
      <c r="CP235" s="37">
        <f t="shared" ca="1" si="203"/>
        <v>0.37615801523275183</v>
      </c>
      <c r="CQ235" s="95">
        <f t="shared" ca="1" si="204"/>
        <v>0.36</v>
      </c>
      <c r="CR235" s="95">
        <f t="shared" ca="1" si="205"/>
        <v>0.2</v>
      </c>
      <c r="CS235" s="95">
        <f t="shared" ca="1" si="206"/>
        <v>2</v>
      </c>
      <c r="CT235" s="103">
        <f t="shared" ca="1" si="207"/>
        <v>7.000000000000001E-3</v>
      </c>
      <c r="CU235" s="95">
        <f t="shared" ca="1" si="208"/>
        <v>0.26982507908315828</v>
      </c>
      <c r="CV235" s="37">
        <f ca="1">$CB235^2/$CF235^2</f>
        <v>0.47969967763625954</v>
      </c>
      <c r="CW235" s="37">
        <f ca="1">$CD235^2/$CF235^2</f>
        <v>3.3984769049522907E-3</v>
      </c>
      <c r="CX235" s="37">
        <f ca="1">$CE235^2/$CF235^2</f>
        <v>4.893806743131301E-3</v>
      </c>
      <c r="CY235" s="37">
        <f ca="1">$CC235^2/$CF235^2</f>
        <v>0.51200803871565681</v>
      </c>
      <c r="DA235" s="98" t="s">
        <v>214</v>
      </c>
      <c r="DB235" s="36">
        <f ca="1">OFFSET($A$1,ROW(DB235)-1,MATCH(DA235,$1:$1,0)-1)</f>
        <v>12</v>
      </c>
      <c r="DC235" s="9">
        <f ca="1">BB235</f>
        <v>0.71731843575418996</v>
      </c>
      <c r="DD235" s="9">
        <f ca="1">$DC235+$CA235</f>
        <v>0.98714351483734819</v>
      </c>
      <c r="DE235" s="9">
        <f ca="1">$DC235-$CA235</f>
        <v>0.44749335667103168</v>
      </c>
      <c r="DF235" s="10">
        <f t="shared" ca="1" si="181"/>
        <v>0.37615801523275172</v>
      </c>
    </row>
    <row r="236" spans="1:110" s="8" customFormat="1" ht="32.4" customHeight="1">
      <c r="A236" s="206" t="s">
        <v>672</v>
      </c>
      <c r="B236" s="208" t="s">
        <v>2346</v>
      </c>
      <c r="C236" s="206" t="str">
        <f t="shared" si="186"/>
        <v>Parameter-Variation: Lambda_Insulation_Effective = 0,020 W/(m·K)</v>
      </c>
      <c r="D236" s="206"/>
      <c r="E236" s="206" t="s">
        <v>200</v>
      </c>
      <c r="F236" s="206" t="str">
        <f>IFERROR(TEXT(V236,"0,000")&amp;" W/(m·K)","NA")</f>
        <v>0,020 W/(m·K)</v>
      </c>
      <c r="G236" s="206" t="s">
        <v>2170</v>
      </c>
      <c r="H236" s="206" t="s">
        <v>2171</v>
      </c>
      <c r="I236" s="156" t="s">
        <v>80</v>
      </c>
      <c r="J236" s="156" t="s">
        <v>134</v>
      </c>
      <c r="K236" s="156" t="s">
        <v>155</v>
      </c>
      <c r="L236" s="156" t="s">
        <v>66</v>
      </c>
      <c r="M236" s="156" t="s">
        <v>188</v>
      </c>
      <c r="N236" s="7">
        <v>1960</v>
      </c>
      <c r="O236" s="156">
        <v>1</v>
      </c>
      <c r="P236" s="156">
        <v>0</v>
      </c>
      <c r="Q236" s="156" t="s">
        <v>435</v>
      </c>
      <c r="R236" s="156" t="s">
        <v>58</v>
      </c>
      <c r="S236" s="19">
        <v>12</v>
      </c>
      <c r="T236" s="19">
        <v>0.5</v>
      </c>
      <c r="U236" s="19">
        <v>2016</v>
      </c>
      <c r="V236" s="19">
        <v>0.02</v>
      </c>
      <c r="W236" s="28" t="s">
        <v>59</v>
      </c>
      <c r="X236" s="19" t="e">
        <v>#N/A</v>
      </c>
      <c r="Y236" s="105">
        <f ca="1">IFERROR(OFFSET(Tab.Const.ConstrBorder!$A$1,MATCH(Q236,Tab.Const.ConstrBorder!$A:$A,0)-1,MATCH(Y$87,Tab.Const.ConstrBorder!$1:$1,0)-1),0)</f>
        <v>0</v>
      </c>
      <c r="Z236" s="18">
        <f t="shared" si="188"/>
        <v>1960</v>
      </c>
      <c r="AA236" s="17">
        <f>MATCH(Z236,Tab.Year.Period!$11:$11,1)-3</f>
        <v>5</v>
      </c>
      <c r="AB236" s="17">
        <f>MATCH(AB$88&amp;"."&amp;TEXT(AA236,"00"),Tab.U.Default!$A:$A,0)</f>
        <v>28</v>
      </c>
      <c r="AC236" s="105">
        <f ca="1">OFFSET(Tab.U.Default!$A$1,$AB236-1,MATCH("U_Class_"&amp;IF($J236="TopCeiling","UpperCeiling",$J236)&amp;"_"&amp;AC$87,Tab.U.Default!$1:$1,0)-1)</f>
        <v>1.2</v>
      </c>
      <c r="AD236" s="105">
        <f ca="1">OFFSET(Tab.U.Default!$A$1,$AB236-1,MATCH("U_Class_"&amp;IF($J236="TopCeiling","UpperCeiling",$J236)&amp;"_"&amp;AD$87,Tab.U.Default!$1:$1,0)-1)</f>
        <v>1.2</v>
      </c>
      <c r="AE236" s="105">
        <f ca="1">OFFSET(Tab.U.Default!$A$1,$AB236-1,MATCH("U_Class_"&amp;IF($J236="TopCeiling","UpperCeiling",$J236)&amp;"_"&amp;AE$87,Tab.U.Default!$1:$1,0)-1)</f>
        <v>0.8</v>
      </c>
      <c r="AF236" s="26">
        <f t="shared" ca="1" si="189"/>
        <v>1.2</v>
      </c>
      <c r="AG236" s="26">
        <f t="shared" ca="1" si="190"/>
        <v>1.2</v>
      </c>
      <c r="AH236" s="18" t="str">
        <f t="shared" si="211"/>
        <v>Refurbish</v>
      </c>
      <c r="AI236" s="18" t="str">
        <f t="shared" si="191"/>
        <v>Add</v>
      </c>
      <c r="AJ236" s="18">
        <f t="shared" si="192"/>
        <v>2016</v>
      </c>
      <c r="AK236" s="17">
        <f>MATCH(AJ236,Tab.Year.Period!$11:$11,1)-3</f>
        <v>12</v>
      </c>
      <c r="AL236" s="17">
        <f>MATCH(AL$88&amp;"."&amp;TEXT(AK236,"00"),Tab.Insulation.Default!$A:$A,0)</f>
        <v>23</v>
      </c>
      <c r="AM236" s="20" t="e">
        <f ca="1">IF(ISNA(IF(S236="",#N/A,S236)),OFFSET(Tab.Insulation.Default!$A$1,$AL236-1,MATCH(AM$87&amp;"_"&amp;$K236,Tab.Insulation.Default!$1:$1,0)-1),#N/A)</f>
        <v>#N/A</v>
      </c>
      <c r="AN236" s="27">
        <f t="shared" si="193"/>
        <v>12</v>
      </c>
      <c r="AO236" s="22" t="e">
        <f ca="1">IF(ISNA(IF(V236="",#N/A,V236)),OFFSET(Tab.Insulation.Default!$A$1,$AL236-1,MATCH(AO$87&amp;"_"&amp;$K236,Tab.Insulation.Default!$1:$1,0)-1),#N/A)</f>
        <v>#N/A</v>
      </c>
      <c r="AP236" s="23">
        <f t="shared" si="194"/>
        <v>0.02</v>
      </c>
      <c r="AQ236" s="29" t="str">
        <f t="shared" si="212"/>
        <v>Gen.Refurbished.12</v>
      </c>
      <c r="AR236" s="17">
        <f>MATCH(AR$88&amp;"."&amp;AQ236,Tab.Measure.f.Default!$A:$A,0)</f>
        <v>23</v>
      </c>
      <c r="AS236" s="21">
        <f ca="1">OFFSET(Tab.Measure.f.Default!$A$1,AR236-1,MATCH(AS$87&amp;"_"&amp;$J236,Tab.Measure.f.Default!$1:$1,0)-1)</f>
        <v>0.75</v>
      </c>
      <c r="AT236" s="29" t="str">
        <f t="shared" si="213"/>
        <v>MUH.NA.05</v>
      </c>
      <c r="AU236" s="17">
        <f>MATCH(AU$88&amp;"."&amp;AT236,Tab.Measure.f.Default!$A:$A,0)</f>
        <v>40</v>
      </c>
      <c r="AV236" s="21">
        <f ca="1">OFFSET(Tab.Measure.f.Default!$A$1,AU236-1,MATCH(AV$87&amp;"_"&amp;$J236,Tab.Measure.f.Default!$1:$1,0)-1)</f>
        <v>0.37</v>
      </c>
      <c r="AW236" s="30">
        <f t="shared" si="195"/>
        <v>0.5</v>
      </c>
      <c r="AX236" s="9">
        <f t="shared" ca="1" si="214"/>
        <v>0.83333333333333337</v>
      </c>
      <c r="AY236" s="9">
        <f t="shared" si="215"/>
        <v>6</v>
      </c>
      <c r="AZ236" s="9">
        <f t="shared" ca="1" si="196"/>
        <v>6.833333333333333</v>
      </c>
      <c r="BA236" s="9">
        <f t="shared" ca="1" si="197"/>
        <v>0.14634146341463417</v>
      </c>
      <c r="BB236" s="9">
        <f t="shared" ca="1" si="216"/>
        <v>0.673170731707317</v>
      </c>
      <c r="BC236" s="32" t="str">
        <f t="shared" si="217"/>
        <v>D</v>
      </c>
      <c r="BD236" s="20" t="str">
        <f ca="1">OFFSET(Tab.Uncertainty.Levels!$A$1,MATCH(BD$88,Tab.Uncertainty.Levels!$A:$A,0)-1,MATCH(BD$87&amp;"_"&amp;BC236,Tab.Uncertainty.Levels!$1:$1,0)-1)</f>
        <v>Use of default values; building constructed until 1983</v>
      </c>
      <c r="BE236" s="24">
        <f ca="1">OFFSET(Tab.Uncertainty.Levels!$A$1,MATCH(BE$88,Tab.Uncertainty.Levels!$A:$A,0)-1,MATCH(BE$87&amp;"_"&amp;BC236,Tab.Uncertainty.Levels!$1:$1,0)-1)</f>
        <v>0.3</v>
      </c>
      <c r="BF236" s="32" t="str">
        <f t="shared" si="218"/>
        <v>-</v>
      </c>
      <c r="BG236" s="20" t="e">
        <f ca="1">OFFSET(Tab.Uncertainty.Levels!$A$1,MATCH(BG$88,Tab.Uncertainty.Levels!$A:$A,0)-1,MATCH(BG$87&amp;"_"&amp;BF236,Tab.Uncertainty.Levels!$1:$1,0)-1)</f>
        <v>#N/A</v>
      </c>
      <c r="BH236" s="24" t="e">
        <f ca="1">OFFSET(Tab.Uncertainty.Levels!$A$1,MATCH(BH$88,Tab.Uncertainty.Levels!$A:$A,0)-1,MATCH(BH$87&amp;"_"&amp;BF236,Tab.Uncertainty.Levels!$1:$1,0)-1)</f>
        <v>#N/A</v>
      </c>
      <c r="BI236" s="32" t="str">
        <f t="shared" si="224"/>
        <v>D</v>
      </c>
      <c r="BJ236" s="13">
        <f ca="1">IF(BF236="-",BE236,BH236)</f>
        <v>0.3</v>
      </c>
      <c r="BK236" s="32" t="str">
        <f>IF(OR($L236="NoDataSource",IFERROR(IF($S236="",#N/A,$S236),0)=0),IF(IFERROR(IF(U236="",#N/A,U236),0)=0,"E","D"),IF($L236="DesignDataPlusQA","A",IF($L236="DesignData","B","C")))</f>
        <v>C</v>
      </c>
      <c r="BL236" s="20" t="str">
        <f ca="1">OFFSET(Tab.Uncertainty.Levels!$A$1,MATCH(BL$88,Tab.Uncertainty.Levels!$A:$A,0)-1,MATCH(BL$87&amp;"_"&amp;BK236,Tab.Uncertainty.Levels!$1:$1,0)-1)</f>
        <v>Insulation thickness determined by inspection onsite / record or statement of owner</v>
      </c>
      <c r="BM236" s="24">
        <f ca="1">OFFSET(Tab.Uncertainty.Levels!$A$1,MATCH(BM$88,Tab.Uncertainty.Levels!$A:$A,0)-1,MATCH(BM$87&amp;"_"&amp;BK236,Tab.Uncertainty.Levels!$1:$1,0)-1)</f>
        <v>0.25</v>
      </c>
      <c r="BN236" s="34">
        <f ca="1">OFFSET(Tab.Uncertainty.Levels!$A$1,MATCH(BN$88,Tab.Uncertainty.Levels!$A:$A,0)-1,MATCH(BN$87&amp;"_"&amp;BK236,Tab.Uncertainty.Levels!$1:$1,0)-1)</f>
        <v>2</v>
      </c>
      <c r="BO236" s="13">
        <f ca="1">IFERROR(MIN(BM236,BN236/AN236),0)</f>
        <v>0.16666666666666666</v>
      </c>
      <c r="BP236" s="32" t="str">
        <f>IF(OR($L236="NoDataSource",IFERROR(IF($V236="",#N/A,$V236),0)=0),IF(IFERROR(IF(U236="",#N/A,U236),0)=0,"E","D"),IF($L236="DesignDataPlusQA","A",IF($L236="DesignData","B","C")))</f>
        <v>C</v>
      </c>
      <c r="BQ236" s="20" t="str">
        <f ca="1">OFFSET(Tab.Uncertainty.Levels!$A$1,MATCH(BQ$88,Tab.Uncertainty.Levels!$A:$A,0)-1,MATCH(BQ$87&amp;"_"&amp;BP236,Tab.Uncertainty.Levels!$1:$1,0)-1)</f>
        <v>Thermal conductivity of Insulation determined by inspection onsite / record or statement of owner</v>
      </c>
      <c r="BR236" s="97">
        <f ca="1">OFFSET(Tab.Uncertainty.Levels!$A$1,MATCH(BR$88,Tab.Uncertainty.Levels!$A:$A,0)-1,MATCH(BR$87&amp;"_"&amp;BP236,Tab.Uncertainty.Levels!$1:$1,0)-1)</f>
        <v>0.15</v>
      </c>
      <c r="BS236" s="32" t="str">
        <f>IF(L236="NoDataSource","D",IF(IFERROR(IF($T236="",#N/A,$T236),0)=0,IF(OR(IFERROR(IF($S236="",#N/A,$S236),0)&gt;0,$R236="Refurbish"),"D","E"),IF($L236="DesignDataPlusQA","A",IF($L236="DesignData","B","C"))))</f>
        <v>C</v>
      </c>
      <c r="BT236" s="20" t="str">
        <f ca="1">OFFSET(Tab.Uncertainty.Levels!$A$1,MATCH(BT$88,Tab.Uncertainty.Levels!$A:$A,0)-1,MATCH(BT$87&amp;"_"&amp;BS236,Tab.Uncertainty.Levels!$1:$1,0)-1)</f>
        <v>Insulation fraction determined by inspection onsite / record or statement of owner</v>
      </c>
      <c r="BU236" s="33">
        <f ca="1">OFFSET(Tab.Uncertainty.Levels!$A$1,MATCH(BU$88,Tab.Uncertainty.Levels!$A:$A,0)-1,MATCH(BU$87&amp;"_"&amp;BS236,Tab.Uncertainty.Levels!$1:$1,0)-1)</f>
        <v>0.2</v>
      </c>
      <c r="BV236" s="13">
        <f ca="1">IFERROR(MIN(BU236/AW236,1,(1-AW236)/AW236),0)</f>
        <v>0.4</v>
      </c>
      <c r="BW236" s="96">
        <f ca="1">ABS(1+(AW236*(1/(1+AN236/100/AP236*AG236)^2-1)))*BJ236*$AG236</f>
        <v>0.18267697798929208</v>
      </c>
      <c r="BX236" s="96">
        <f ca="1">ABS(-AG236+1/(1/AG236+AN236/100/AP236))*BV236*AW236</f>
        <v>0.21073170731707319</v>
      </c>
      <c r="BY236" s="96">
        <f ca="1">ABS(-AW236*AP236/((AP236/AG236+AN236/100)^2))*(BO236*AN236/100)</f>
        <v>1.0707911957168356E-2</v>
      </c>
      <c r="BZ236" s="202">
        <f ca="1">ABS(AW236*AN236/100/(1/AG236*AP236+AN236/100)^2)*(BR236*AP236)</f>
        <v>9.6371207614515172E-3</v>
      </c>
      <c r="CA236" s="103">
        <f t="shared" ca="1" si="198"/>
        <v>0.27926020882166896</v>
      </c>
      <c r="CB236" s="37">
        <f t="shared" ca="1" si="219"/>
        <v>0.27136797454931072</v>
      </c>
      <c r="CC236" s="37">
        <f t="shared" ca="1" si="220"/>
        <v>0.31304347826086965</v>
      </c>
      <c r="CD236" s="37">
        <f t="shared" ca="1" si="221"/>
        <v>1.5906680805938499E-2</v>
      </c>
      <c r="CE236" s="37">
        <f t="shared" ca="1" si="222"/>
        <v>1.4316012725344647E-2</v>
      </c>
      <c r="CF236" s="13">
        <f t="shared" ca="1" si="223"/>
        <v>0.41484306382929093</v>
      </c>
      <c r="CG236" s="101">
        <f ca="1">AG236</f>
        <v>1.2</v>
      </c>
      <c r="CH236" s="101">
        <f>AW236</f>
        <v>0.5</v>
      </c>
      <c r="CI236" s="203">
        <f>IF(CH236&gt;0,AN236,0)</f>
        <v>12</v>
      </c>
      <c r="CJ236" s="102">
        <f>IF(AND(CH236&gt;0,CI236&gt;0),AP236,0)</f>
        <v>0.02</v>
      </c>
      <c r="CK236" s="102">
        <f ca="1">BB236</f>
        <v>0.673170731707317</v>
      </c>
      <c r="CL236" s="37">
        <f t="shared" ca="1" si="199"/>
        <v>0.3</v>
      </c>
      <c r="CM236" s="37">
        <f t="shared" ca="1" si="200"/>
        <v>0.4</v>
      </c>
      <c r="CN236" s="37">
        <f t="shared" ca="1" si="201"/>
        <v>0.16666666666666666</v>
      </c>
      <c r="CO236" s="37">
        <f t="shared" ca="1" si="202"/>
        <v>0.15</v>
      </c>
      <c r="CP236" s="37">
        <f t="shared" ca="1" si="203"/>
        <v>0.41484306382929093</v>
      </c>
      <c r="CQ236" s="95">
        <f t="shared" ca="1" si="204"/>
        <v>0.36</v>
      </c>
      <c r="CR236" s="95">
        <f t="shared" ca="1" si="205"/>
        <v>0.2</v>
      </c>
      <c r="CS236" s="95">
        <f t="shared" ca="1" si="206"/>
        <v>2</v>
      </c>
      <c r="CT236" s="103">
        <f t="shared" ca="1" si="207"/>
        <v>3.0000000000000001E-3</v>
      </c>
      <c r="CU236" s="95">
        <f t="shared" ca="1" si="208"/>
        <v>0.27926020882166896</v>
      </c>
      <c r="CV236" s="37">
        <f ca="1">$CB236^2/$CF236^2</f>
        <v>0.42790712718846841</v>
      </c>
      <c r="CW236" s="37">
        <f ca="1">$CD236^2/$CF236^2</f>
        <v>1.4702509424308547E-3</v>
      </c>
      <c r="CX236" s="37">
        <f ca="1">$CE236^2/$CF236^2</f>
        <v>1.1909032633689919E-3</v>
      </c>
      <c r="CY236" s="37">
        <f ca="1">$CC236^2/$CF236^2</f>
        <v>0.56943171860573172</v>
      </c>
      <c r="DA236" s="98" t="s">
        <v>214</v>
      </c>
      <c r="DB236" s="36">
        <f ca="1">OFFSET($A$1,ROW(DB236)-1,MATCH(DA236,$1:$1,0)-1)</f>
        <v>12</v>
      </c>
      <c r="DC236" s="9">
        <f ca="1">BB236</f>
        <v>0.673170731707317</v>
      </c>
      <c r="DD236" s="9">
        <f ca="1">$DC236+$CA236</f>
        <v>0.95243094052898591</v>
      </c>
      <c r="DE236" s="9">
        <f ca="1">$DC236-$CA236</f>
        <v>0.39391052288564804</v>
      </c>
      <c r="DF236" s="10">
        <f t="shared" ca="1" si="181"/>
        <v>0.41484306382929081</v>
      </c>
    </row>
    <row r="237" spans="1:110" s="8" customFormat="1" ht="32.4" customHeight="1">
      <c r="A237" s="206" t="s">
        <v>673</v>
      </c>
      <c r="B237" s="208" t="s">
        <v>2346</v>
      </c>
      <c r="C237" s="206" t="str">
        <f t="shared" si="186"/>
        <v>Parameter-Variation: Lambda_Insulation_Effective = 0,025 W/(m·K)</v>
      </c>
      <c r="D237" s="206"/>
      <c r="E237" s="206" t="s">
        <v>200</v>
      </c>
      <c r="F237" s="206" t="str">
        <f t="shared" ref="F237:F245" si="225">IFERROR(TEXT(V237,"0,000")&amp;" W/(m·K)","NA")</f>
        <v>0,025 W/(m·K)</v>
      </c>
      <c r="G237" s="206" t="s">
        <v>2170</v>
      </c>
      <c r="H237" s="206" t="s">
        <v>2171</v>
      </c>
      <c r="I237" s="156" t="s">
        <v>80</v>
      </c>
      <c r="J237" s="156" t="s">
        <v>134</v>
      </c>
      <c r="K237" s="156" t="s">
        <v>155</v>
      </c>
      <c r="L237" s="156" t="s">
        <v>66</v>
      </c>
      <c r="M237" s="156" t="s">
        <v>188</v>
      </c>
      <c r="N237" s="7">
        <v>1960</v>
      </c>
      <c r="O237" s="156">
        <v>1</v>
      </c>
      <c r="P237" s="156">
        <v>0</v>
      </c>
      <c r="Q237" s="156" t="s">
        <v>435</v>
      </c>
      <c r="R237" s="156" t="s">
        <v>58</v>
      </c>
      <c r="S237" s="19">
        <v>12</v>
      </c>
      <c r="T237" s="19">
        <v>0.5</v>
      </c>
      <c r="U237" s="19">
        <v>2016</v>
      </c>
      <c r="V237" s="19">
        <f>V236+0.005</f>
        <v>2.5000000000000001E-2</v>
      </c>
      <c r="W237" s="28" t="s">
        <v>59</v>
      </c>
      <c r="X237" s="19" t="e">
        <v>#N/A</v>
      </c>
      <c r="Y237" s="105">
        <f ca="1">IFERROR(OFFSET(Tab.Const.ConstrBorder!$A$1,MATCH(Q237,Tab.Const.ConstrBorder!$A:$A,0)-1,MATCH(Y$87,Tab.Const.ConstrBorder!$1:$1,0)-1),0)</f>
        <v>0</v>
      </c>
      <c r="Z237" s="18">
        <f t="shared" si="188"/>
        <v>1960</v>
      </c>
      <c r="AA237" s="17">
        <f>MATCH(Z237,Tab.Year.Period!$11:$11,1)-3</f>
        <v>5</v>
      </c>
      <c r="AB237" s="17">
        <f>MATCH(AB$88&amp;"."&amp;TEXT(AA237,"00"),Tab.U.Default!$A:$A,0)</f>
        <v>28</v>
      </c>
      <c r="AC237" s="105">
        <f ca="1">OFFSET(Tab.U.Default!$A$1,$AB237-1,MATCH("U_Class_"&amp;IF($J237="TopCeiling","UpperCeiling",$J237)&amp;"_"&amp;AC$87,Tab.U.Default!$1:$1,0)-1)</f>
        <v>1.2</v>
      </c>
      <c r="AD237" s="105">
        <f ca="1">OFFSET(Tab.U.Default!$A$1,$AB237-1,MATCH("U_Class_"&amp;IF($J237="TopCeiling","UpperCeiling",$J237)&amp;"_"&amp;AD$87,Tab.U.Default!$1:$1,0)-1)</f>
        <v>1.2</v>
      </c>
      <c r="AE237" s="105">
        <f ca="1">OFFSET(Tab.U.Default!$A$1,$AB237-1,MATCH("U_Class_"&amp;IF($J237="TopCeiling","UpperCeiling",$J237)&amp;"_"&amp;AE$87,Tab.U.Default!$1:$1,0)-1)</f>
        <v>0.8</v>
      </c>
      <c r="AF237" s="26">
        <f t="shared" ca="1" si="189"/>
        <v>1.2</v>
      </c>
      <c r="AG237" s="26">
        <f t="shared" ca="1" si="190"/>
        <v>1.2</v>
      </c>
      <c r="AH237" s="18" t="str">
        <f t="shared" si="211"/>
        <v>Refurbish</v>
      </c>
      <c r="AI237" s="18" t="str">
        <f t="shared" si="191"/>
        <v>Add</v>
      </c>
      <c r="AJ237" s="18">
        <f t="shared" si="192"/>
        <v>2016</v>
      </c>
      <c r="AK237" s="17">
        <f>MATCH(AJ237,Tab.Year.Period!$11:$11,1)-3</f>
        <v>12</v>
      </c>
      <c r="AL237" s="17">
        <f>MATCH(AL$88&amp;"."&amp;TEXT(AK237,"00"),Tab.Insulation.Default!$A:$A,0)</f>
        <v>23</v>
      </c>
      <c r="AM237" s="20" t="e">
        <f ca="1">IF(ISNA(IF(S237="",#N/A,S237)),OFFSET(Tab.Insulation.Default!$A$1,$AL237-1,MATCH(AM$87&amp;"_"&amp;$K237,Tab.Insulation.Default!$1:$1,0)-1),#N/A)</f>
        <v>#N/A</v>
      </c>
      <c r="AN237" s="27">
        <f t="shared" si="193"/>
        <v>12</v>
      </c>
      <c r="AO237" s="22" t="e">
        <f ca="1">IF(ISNA(IF(V237="",#N/A,V237)),OFFSET(Tab.Insulation.Default!$A$1,$AL237-1,MATCH(AO$87&amp;"_"&amp;$K237,Tab.Insulation.Default!$1:$1,0)-1),#N/A)</f>
        <v>#N/A</v>
      </c>
      <c r="AP237" s="23">
        <f t="shared" si="194"/>
        <v>2.5000000000000001E-2</v>
      </c>
      <c r="AQ237" s="29" t="str">
        <f t="shared" si="212"/>
        <v>Gen.Refurbished.12</v>
      </c>
      <c r="AR237" s="17">
        <f>MATCH(AR$88&amp;"."&amp;AQ237,Tab.Measure.f.Default!$A:$A,0)</f>
        <v>23</v>
      </c>
      <c r="AS237" s="21">
        <f ca="1">OFFSET(Tab.Measure.f.Default!$A$1,AR237-1,MATCH(AS$87&amp;"_"&amp;$J237,Tab.Measure.f.Default!$1:$1,0)-1)</f>
        <v>0.75</v>
      </c>
      <c r="AT237" s="29" t="str">
        <f t="shared" si="213"/>
        <v>MUH.NA.05</v>
      </c>
      <c r="AU237" s="17">
        <f>MATCH(AU$88&amp;"."&amp;AT237,Tab.Measure.f.Default!$A:$A,0)</f>
        <v>40</v>
      </c>
      <c r="AV237" s="21">
        <f ca="1">OFFSET(Tab.Measure.f.Default!$A$1,AU237-1,MATCH(AV$87&amp;"_"&amp;$J237,Tab.Measure.f.Default!$1:$1,0)-1)</f>
        <v>0.37</v>
      </c>
      <c r="AW237" s="30">
        <f t="shared" si="195"/>
        <v>0.5</v>
      </c>
      <c r="AX237" s="9">
        <f t="shared" ca="1" si="214"/>
        <v>0.83333333333333337</v>
      </c>
      <c r="AY237" s="9">
        <f t="shared" si="215"/>
        <v>4.8</v>
      </c>
      <c r="AZ237" s="9">
        <f t="shared" ca="1" si="196"/>
        <v>5.6333333333333329</v>
      </c>
      <c r="BA237" s="9">
        <f t="shared" ca="1" si="197"/>
        <v>0.1775147928994083</v>
      </c>
      <c r="BB237" s="9">
        <f t="shared" ca="1" si="216"/>
        <v>0.68875739644970413</v>
      </c>
      <c r="BC237" s="32" t="str">
        <f t="shared" si="217"/>
        <v>D</v>
      </c>
      <c r="BD237" s="20" t="str">
        <f ca="1">OFFSET(Tab.Uncertainty.Levels!$A$1,MATCH(BD$88,Tab.Uncertainty.Levels!$A:$A,0)-1,MATCH(BD$87&amp;"_"&amp;BC237,Tab.Uncertainty.Levels!$1:$1,0)-1)</f>
        <v>Use of default values; building constructed until 1983</v>
      </c>
      <c r="BE237" s="24">
        <f ca="1">OFFSET(Tab.Uncertainty.Levels!$A$1,MATCH(BE$88,Tab.Uncertainty.Levels!$A:$A,0)-1,MATCH(BE$87&amp;"_"&amp;BC237,Tab.Uncertainty.Levels!$1:$1,0)-1)</f>
        <v>0.3</v>
      </c>
      <c r="BF237" s="32" t="str">
        <f t="shared" si="218"/>
        <v>-</v>
      </c>
      <c r="BG237" s="20" t="e">
        <f ca="1">OFFSET(Tab.Uncertainty.Levels!$A$1,MATCH(BG$88,Tab.Uncertainty.Levels!$A:$A,0)-1,MATCH(BG$87&amp;"_"&amp;BF237,Tab.Uncertainty.Levels!$1:$1,0)-1)</f>
        <v>#N/A</v>
      </c>
      <c r="BH237" s="24" t="e">
        <f ca="1">OFFSET(Tab.Uncertainty.Levels!$A$1,MATCH(BH$88,Tab.Uncertainty.Levels!$A:$A,0)-1,MATCH(BH$87&amp;"_"&amp;BF237,Tab.Uncertainty.Levels!$1:$1,0)-1)</f>
        <v>#N/A</v>
      </c>
      <c r="BI237" s="32" t="str">
        <f t="shared" si="224"/>
        <v>D</v>
      </c>
      <c r="BJ237" s="13">
        <f ca="1">IF(BF237="-",BE237,BH237)</f>
        <v>0.3</v>
      </c>
      <c r="BK237" s="32" t="str">
        <f>IF(OR($L237="NoDataSource",IFERROR(IF($S237="",#N/A,$S237),0)=0),IF(IFERROR(IF(U237="",#N/A,U237),0)=0,"E","D"),IF($L237="DesignDataPlusQA","A",IF($L237="DesignData","B","C")))</f>
        <v>C</v>
      </c>
      <c r="BL237" s="20" t="str">
        <f ca="1">OFFSET(Tab.Uncertainty.Levels!$A$1,MATCH(BL$88,Tab.Uncertainty.Levels!$A:$A,0)-1,MATCH(BL$87&amp;"_"&amp;BK237,Tab.Uncertainty.Levels!$1:$1,0)-1)</f>
        <v>Insulation thickness determined by inspection onsite / record or statement of owner</v>
      </c>
      <c r="BM237" s="24">
        <f ca="1">OFFSET(Tab.Uncertainty.Levels!$A$1,MATCH(BM$88,Tab.Uncertainty.Levels!$A:$A,0)-1,MATCH(BM$87&amp;"_"&amp;BK237,Tab.Uncertainty.Levels!$1:$1,0)-1)</f>
        <v>0.25</v>
      </c>
      <c r="BN237" s="34">
        <f ca="1">OFFSET(Tab.Uncertainty.Levels!$A$1,MATCH(BN$88,Tab.Uncertainty.Levels!$A:$A,0)-1,MATCH(BN$87&amp;"_"&amp;BK237,Tab.Uncertainty.Levels!$1:$1,0)-1)</f>
        <v>2</v>
      </c>
      <c r="BO237" s="13">
        <f ca="1">IFERROR(MIN(BM237,BN237/AN237),0)</f>
        <v>0.16666666666666666</v>
      </c>
      <c r="BP237" s="32" t="str">
        <f>IF(OR($L237="NoDataSource",IFERROR(IF($V237="",#N/A,$V237),0)=0),IF(IFERROR(IF(U237="",#N/A,U237),0)=0,"E","D"),IF($L237="DesignDataPlusQA","A",IF($L237="DesignData","B","C")))</f>
        <v>C</v>
      </c>
      <c r="BQ237" s="20" t="str">
        <f ca="1">OFFSET(Tab.Uncertainty.Levels!$A$1,MATCH(BQ$88,Tab.Uncertainty.Levels!$A:$A,0)-1,MATCH(BQ$87&amp;"_"&amp;BP237,Tab.Uncertainty.Levels!$1:$1,0)-1)</f>
        <v>Thermal conductivity of Insulation determined by inspection onsite / record or statement of owner</v>
      </c>
      <c r="BR237" s="97">
        <f ca="1">OFFSET(Tab.Uncertainty.Levels!$A$1,MATCH(BR$88,Tab.Uncertainty.Levels!$A:$A,0)-1,MATCH(BR$87&amp;"_"&amp;BP237,Tab.Uncertainty.Levels!$1:$1,0)-1)</f>
        <v>0.15</v>
      </c>
      <c r="BS237" s="32" t="str">
        <f>IF(L237="NoDataSource","D",IF(IFERROR(IF($T237="",#N/A,$T237),0)=0,IF(OR(IFERROR(IF($S237="",#N/A,$S237),0)&gt;0,$R237="Refurbish"),"D","E"),IF($L237="DesignDataPlusQA","A",IF($L237="DesignData","B","C"))))</f>
        <v>C</v>
      </c>
      <c r="BT237" s="20" t="str">
        <f ca="1">OFFSET(Tab.Uncertainty.Levels!$A$1,MATCH(BT$88,Tab.Uncertainty.Levels!$A:$A,0)-1,MATCH(BT$87&amp;"_"&amp;BS237,Tab.Uncertainty.Levels!$1:$1,0)-1)</f>
        <v>Insulation fraction determined by inspection onsite / record or statement of owner</v>
      </c>
      <c r="BU237" s="33">
        <f ca="1">OFFSET(Tab.Uncertainty.Levels!$A$1,MATCH(BU$88,Tab.Uncertainty.Levels!$A:$A,0)-1,MATCH(BU$87&amp;"_"&amp;BS237,Tab.Uncertainty.Levels!$1:$1,0)-1)</f>
        <v>0.2</v>
      </c>
      <c r="BV237" s="13">
        <f ca="1">IFERROR(MIN(BU237/AW237,1,(1-AW237)/AW237),0)</f>
        <v>0.4</v>
      </c>
      <c r="BW237" s="96">
        <f ca="1">ABS(1+(AW237*(1/(1+AN237/100/AP237*AG237)^2-1)))*BJ237*$AG237</f>
        <v>0.18393893771226497</v>
      </c>
      <c r="BX237" s="96">
        <f ca="1">ABS(-AG237+1/(1/AG237+AN237/100/AP237))*BV237*AW237</f>
        <v>0.20449704142011835</v>
      </c>
      <c r="BY237" s="96">
        <f ca="1">ABS(-AW237*AP237/((AP237/AG237+AN237/100)^2))*(BO237*AN237/100)</f>
        <v>1.2604600679247924E-2</v>
      </c>
      <c r="BZ237" s="202">
        <f ca="1">ABS(AW237*AN237/100/(1/AG237*AP237+AN237/100)^2)*(BR237*AP237)</f>
        <v>1.134414061132313E-2</v>
      </c>
      <c r="CA237" s="103">
        <f t="shared" ca="1" si="198"/>
        <v>0.27557238294283198</v>
      </c>
      <c r="CB237" s="37">
        <f t="shared" ca="1" si="219"/>
        <v>0.26705911059598608</v>
      </c>
      <c r="CC237" s="37">
        <f t="shared" ca="1" si="220"/>
        <v>0.29690721649484536</v>
      </c>
      <c r="CD237" s="37">
        <f t="shared" ca="1" si="221"/>
        <v>1.8300494113341059E-2</v>
      </c>
      <c r="CE237" s="37">
        <f t="shared" ca="1" si="222"/>
        <v>1.647044470200695E-2</v>
      </c>
      <c r="CF237" s="13">
        <f t="shared" ca="1" si="223"/>
        <v>0.40010079654070968</v>
      </c>
      <c r="CG237" s="101">
        <f ca="1">AG237</f>
        <v>1.2</v>
      </c>
      <c r="CH237" s="101">
        <f>AW237</f>
        <v>0.5</v>
      </c>
      <c r="CI237" s="203">
        <f>IF(CH237&gt;0,AN237,0)</f>
        <v>12</v>
      </c>
      <c r="CJ237" s="102">
        <f>IF(AND(CH237&gt;0,CI237&gt;0),AP237,0)</f>
        <v>2.5000000000000001E-2</v>
      </c>
      <c r="CK237" s="102">
        <f ca="1">BB237</f>
        <v>0.68875739644970413</v>
      </c>
      <c r="CL237" s="37">
        <f t="shared" ca="1" si="199"/>
        <v>0.3</v>
      </c>
      <c r="CM237" s="37">
        <f t="shared" ca="1" si="200"/>
        <v>0.4</v>
      </c>
      <c r="CN237" s="37">
        <f t="shared" ca="1" si="201"/>
        <v>0.16666666666666666</v>
      </c>
      <c r="CO237" s="37">
        <f t="shared" ca="1" si="202"/>
        <v>0.15</v>
      </c>
      <c r="CP237" s="37">
        <f t="shared" ca="1" si="203"/>
        <v>0.40010079654070968</v>
      </c>
      <c r="CQ237" s="95">
        <f t="shared" ca="1" si="204"/>
        <v>0.36</v>
      </c>
      <c r="CR237" s="95">
        <f t="shared" ca="1" si="205"/>
        <v>0.2</v>
      </c>
      <c r="CS237" s="95">
        <f t="shared" ca="1" si="206"/>
        <v>2</v>
      </c>
      <c r="CT237" s="103">
        <f t="shared" ca="1" si="207"/>
        <v>3.7499999999999999E-3</v>
      </c>
      <c r="CU237" s="95">
        <f t="shared" ca="1" si="208"/>
        <v>0.27557238294283198</v>
      </c>
      <c r="CV237" s="37">
        <f ca="1">$CB237^2/$CF237^2</f>
        <v>0.4455289862580602</v>
      </c>
      <c r="CW237" s="37">
        <f ca="1">$CD237^2/$CF237^2</f>
        <v>2.0921210043038595E-3</v>
      </c>
      <c r="CX237" s="37">
        <f ca="1">$CE237^2/$CF237^2</f>
        <v>1.6946180134861254E-3</v>
      </c>
      <c r="CY237" s="37">
        <f ca="1">$CC237^2/$CF237^2</f>
        <v>0.55068427472415016</v>
      </c>
      <c r="DA237" s="98" t="s">
        <v>214</v>
      </c>
      <c r="DB237" s="36">
        <f ca="1">OFFSET($A$1,ROW(DB237)-1,MATCH(DA237,$1:$1,0)-1)</f>
        <v>12</v>
      </c>
      <c r="DC237" s="9">
        <f ca="1">BB237</f>
        <v>0.68875739644970413</v>
      </c>
      <c r="DD237" s="9">
        <f ca="1">$DC237+$CA237</f>
        <v>0.96432977939253606</v>
      </c>
      <c r="DE237" s="9">
        <f ca="1">$DC237-$CA237</f>
        <v>0.41318501350687215</v>
      </c>
      <c r="DF237" s="10">
        <f t="shared" ca="1" si="181"/>
        <v>0.40010079654070957</v>
      </c>
    </row>
    <row r="238" spans="1:110" s="8" customFormat="1" ht="32.4" customHeight="1">
      <c r="A238" s="206" t="s">
        <v>674</v>
      </c>
      <c r="B238" s="208" t="s">
        <v>2346</v>
      </c>
      <c r="C238" s="206" t="str">
        <f t="shared" si="186"/>
        <v>Parameter-Variation: Lambda_Insulation_Effective = 0,030 W/(m·K)</v>
      </c>
      <c r="D238" s="206"/>
      <c r="E238" s="206" t="s">
        <v>200</v>
      </c>
      <c r="F238" s="206" t="str">
        <f t="shared" si="225"/>
        <v>0,030 W/(m·K)</v>
      </c>
      <c r="G238" s="206" t="s">
        <v>2170</v>
      </c>
      <c r="H238" s="206" t="s">
        <v>2171</v>
      </c>
      <c r="I238" s="156" t="s">
        <v>80</v>
      </c>
      <c r="J238" s="156" t="s">
        <v>134</v>
      </c>
      <c r="K238" s="156" t="s">
        <v>155</v>
      </c>
      <c r="L238" s="156" t="s">
        <v>66</v>
      </c>
      <c r="M238" s="156" t="s">
        <v>188</v>
      </c>
      <c r="N238" s="7">
        <v>1960</v>
      </c>
      <c r="O238" s="156">
        <v>1</v>
      </c>
      <c r="P238" s="156">
        <v>0</v>
      </c>
      <c r="Q238" s="156" t="s">
        <v>435</v>
      </c>
      <c r="R238" s="156" t="s">
        <v>58</v>
      </c>
      <c r="S238" s="19">
        <v>12</v>
      </c>
      <c r="T238" s="19">
        <v>0.5</v>
      </c>
      <c r="U238" s="19">
        <v>2016</v>
      </c>
      <c r="V238" s="19">
        <f t="shared" ref="V238:V242" si="226">V237+0.005</f>
        <v>3.0000000000000002E-2</v>
      </c>
      <c r="W238" s="28" t="s">
        <v>59</v>
      </c>
      <c r="X238" s="19" t="e">
        <v>#N/A</v>
      </c>
      <c r="Y238" s="105">
        <f ca="1">IFERROR(OFFSET(Tab.Const.ConstrBorder!$A$1,MATCH(Q238,Tab.Const.ConstrBorder!$A:$A,0)-1,MATCH(Y$87,Tab.Const.ConstrBorder!$1:$1,0)-1),0)</f>
        <v>0</v>
      </c>
      <c r="Z238" s="18">
        <f t="shared" si="188"/>
        <v>1960</v>
      </c>
      <c r="AA238" s="17">
        <f>MATCH(Z238,Tab.Year.Period!$11:$11,1)-3</f>
        <v>5</v>
      </c>
      <c r="AB238" s="17">
        <f>MATCH(AB$88&amp;"."&amp;TEXT(AA238,"00"),Tab.U.Default!$A:$A,0)</f>
        <v>28</v>
      </c>
      <c r="AC238" s="105">
        <f ca="1">OFFSET(Tab.U.Default!$A$1,$AB238-1,MATCH("U_Class_"&amp;IF($J238="TopCeiling","UpperCeiling",$J238)&amp;"_"&amp;AC$87,Tab.U.Default!$1:$1,0)-1)</f>
        <v>1.2</v>
      </c>
      <c r="AD238" s="105">
        <f ca="1">OFFSET(Tab.U.Default!$A$1,$AB238-1,MATCH("U_Class_"&amp;IF($J238="TopCeiling","UpperCeiling",$J238)&amp;"_"&amp;AD$87,Tab.U.Default!$1:$1,0)-1)</f>
        <v>1.2</v>
      </c>
      <c r="AE238" s="105">
        <f ca="1">OFFSET(Tab.U.Default!$A$1,$AB238-1,MATCH("U_Class_"&amp;IF($J238="TopCeiling","UpperCeiling",$J238)&amp;"_"&amp;AE$87,Tab.U.Default!$1:$1,0)-1)</f>
        <v>0.8</v>
      </c>
      <c r="AF238" s="26">
        <f t="shared" ca="1" si="189"/>
        <v>1.2</v>
      </c>
      <c r="AG238" s="26">
        <f t="shared" ca="1" si="190"/>
        <v>1.2</v>
      </c>
      <c r="AH238" s="18" t="str">
        <f t="shared" si="211"/>
        <v>Refurbish</v>
      </c>
      <c r="AI238" s="18" t="str">
        <f t="shared" si="191"/>
        <v>Add</v>
      </c>
      <c r="AJ238" s="18">
        <f t="shared" si="192"/>
        <v>2016</v>
      </c>
      <c r="AK238" s="17">
        <f>MATCH(AJ238,Tab.Year.Period!$11:$11,1)-3</f>
        <v>12</v>
      </c>
      <c r="AL238" s="17">
        <f>MATCH(AL$88&amp;"."&amp;TEXT(AK238,"00"),Tab.Insulation.Default!$A:$A,0)</f>
        <v>23</v>
      </c>
      <c r="AM238" s="20" t="e">
        <f ca="1">IF(ISNA(IF(S238="",#N/A,S238)),OFFSET(Tab.Insulation.Default!$A$1,$AL238-1,MATCH(AM$87&amp;"_"&amp;$K238,Tab.Insulation.Default!$1:$1,0)-1),#N/A)</f>
        <v>#N/A</v>
      </c>
      <c r="AN238" s="27">
        <f t="shared" si="193"/>
        <v>12</v>
      </c>
      <c r="AO238" s="22" t="e">
        <f ca="1">IF(ISNA(IF(V238="",#N/A,V238)),OFFSET(Tab.Insulation.Default!$A$1,$AL238-1,MATCH(AO$87&amp;"_"&amp;$K238,Tab.Insulation.Default!$1:$1,0)-1),#N/A)</f>
        <v>#N/A</v>
      </c>
      <c r="AP238" s="23">
        <f t="shared" si="194"/>
        <v>3.0000000000000002E-2</v>
      </c>
      <c r="AQ238" s="29" t="str">
        <f t="shared" si="212"/>
        <v>Gen.Refurbished.12</v>
      </c>
      <c r="AR238" s="17">
        <f>MATCH(AR$88&amp;"."&amp;AQ238,Tab.Measure.f.Default!$A:$A,0)</f>
        <v>23</v>
      </c>
      <c r="AS238" s="21">
        <f ca="1">OFFSET(Tab.Measure.f.Default!$A$1,AR238-1,MATCH(AS$87&amp;"_"&amp;$J238,Tab.Measure.f.Default!$1:$1,0)-1)</f>
        <v>0.75</v>
      </c>
      <c r="AT238" s="29" t="str">
        <f t="shared" si="213"/>
        <v>MUH.NA.05</v>
      </c>
      <c r="AU238" s="17">
        <f>MATCH(AU$88&amp;"."&amp;AT238,Tab.Measure.f.Default!$A:$A,0)</f>
        <v>40</v>
      </c>
      <c r="AV238" s="21">
        <f ca="1">OFFSET(Tab.Measure.f.Default!$A$1,AU238-1,MATCH(AV$87&amp;"_"&amp;$J238,Tab.Measure.f.Default!$1:$1,0)-1)</f>
        <v>0.37</v>
      </c>
      <c r="AW238" s="30">
        <f t="shared" si="195"/>
        <v>0.5</v>
      </c>
      <c r="AX238" s="9">
        <f t="shared" ca="1" si="214"/>
        <v>0.83333333333333337</v>
      </c>
      <c r="AY238" s="9">
        <f t="shared" si="215"/>
        <v>3.9999999999999996</v>
      </c>
      <c r="AZ238" s="9">
        <f t="shared" ca="1" si="196"/>
        <v>4.833333333333333</v>
      </c>
      <c r="BA238" s="9">
        <f t="shared" ca="1" si="197"/>
        <v>0.20689655172413796</v>
      </c>
      <c r="BB238" s="9">
        <f t="shared" ca="1" si="216"/>
        <v>0.70344827586206893</v>
      </c>
      <c r="BC238" s="32" t="str">
        <f t="shared" si="217"/>
        <v>D</v>
      </c>
      <c r="BD238" s="20" t="str">
        <f ca="1">OFFSET(Tab.Uncertainty.Levels!$A$1,MATCH(BD$88,Tab.Uncertainty.Levels!$A:$A,0)-1,MATCH(BD$87&amp;"_"&amp;BC238,Tab.Uncertainty.Levels!$1:$1,0)-1)</f>
        <v>Use of default values; building constructed until 1983</v>
      </c>
      <c r="BE238" s="24">
        <f ca="1">OFFSET(Tab.Uncertainty.Levels!$A$1,MATCH(BE$88,Tab.Uncertainty.Levels!$A:$A,0)-1,MATCH(BE$87&amp;"_"&amp;BC238,Tab.Uncertainty.Levels!$1:$1,0)-1)</f>
        <v>0.3</v>
      </c>
      <c r="BF238" s="32" t="str">
        <f t="shared" si="218"/>
        <v>-</v>
      </c>
      <c r="BG238" s="20" t="e">
        <f ca="1">OFFSET(Tab.Uncertainty.Levels!$A$1,MATCH(BG$88,Tab.Uncertainty.Levels!$A:$A,0)-1,MATCH(BG$87&amp;"_"&amp;BF238,Tab.Uncertainty.Levels!$1:$1,0)-1)</f>
        <v>#N/A</v>
      </c>
      <c r="BH238" s="24" t="e">
        <f ca="1">OFFSET(Tab.Uncertainty.Levels!$A$1,MATCH(BH$88,Tab.Uncertainty.Levels!$A:$A,0)-1,MATCH(BH$87&amp;"_"&amp;BF238,Tab.Uncertainty.Levels!$1:$1,0)-1)</f>
        <v>#N/A</v>
      </c>
      <c r="BI238" s="32" t="str">
        <f t="shared" si="224"/>
        <v>D</v>
      </c>
      <c r="BJ238" s="13">
        <f ca="1">IF(BF238="-",BE238,BH238)</f>
        <v>0.3</v>
      </c>
      <c r="BK238" s="32" t="str">
        <f>IF(OR($L238="NoDataSource",IFERROR(IF($S238="",#N/A,$S238),0)=0),IF(IFERROR(IF(U238="",#N/A,U238),0)=0,"E","D"),IF($L238="DesignDataPlusQA","A",IF($L238="DesignData","B","C")))</f>
        <v>C</v>
      </c>
      <c r="BL238" s="20" t="str">
        <f ca="1">OFFSET(Tab.Uncertainty.Levels!$A$1,MATCH(BL$88,Tab.Uncertainty.Levels!$A:$A,0)-1,MATCH(BL$87&amp;"_"&amp;BK238,Tab.Uncertainty.Levels!$1:$1,0)-1)</f>
        <v>Insulation thickness determined by inspection onsite / record or statement of owner</v>
      </c>
      <c r="BM238" s="24">
        <f ca="1">OFFSET(Tab.Uncertainty.Levels!$A$1,MATCH(BM$88,Tab.Uncertainty.Levels!$A:$A,0)-1,MATCH(BM$87&amp;"_"&amp;BK238,Tab.Uncertainty.Levels!$1:$1,0)-1)</f>
        <v>0.25</v>
      </c>
      <c r="BN238" s="34">
        <f ca="1">OFFSET(Tab.Uncertainty.Levels!$A$1,MATCH(BN$88,Tab.Uncertainty.Levels!$A:$A,0)-1,MATCH(BN$87&amp;"_"&amp;BK238,Tab.Uncertainty.Levels!$1:$1,0)-1)</f>
        <v>2</v>
      </c>
      <c r="BO238" s="13">
        <f ca="1">IFERROR(MIN(BM238,BN238/AN238),0)</f>
        <v>0.16666666666666666</v>
      </c>
      <c r="BP238" s="32" t="str">
        <f>IF(OR($L238="NoDataSource",IFERROR(IF($V238="",#N/A,$V238),0)=0),IF(IFERROR(IF(U238="",#N/A,U238),0)=0,"E","D"),IF($L238="DesignDataPlusQA","A",IF($L238="DesignData","B","C")))</f>
        <v>C</v>
      </c>
      <c r="BQ238" s="20" t="str">
        <f ca="1">OFFSET(Tab.Uncertainty.Levels!$A$1,MATCH(BQ$88,Tab.Uncertainty.Levels!$A:$A,0)-1,MATCH(BQ$87&amp;"_"&amp;BP238,Tab.Uncertainty.Levels!$1:$1,0)-1)</f>
        <v>Thermal conductivity of Insulation determined by inspection onsite / record or statement of owner</v>
      </c>
      <c r="BR238" s="97">
        <f ca="1">OFFSET(Tab.Uncertainty.Levels!$A$1,MATCH(BR$88,Tab.Uncertainty.Levels!$A:$A,0)-1,MATCH(BR$87&amp;"_"&amp;BP238,Tab.Uncertainty.Levels!$1:$1,0)-1)</f>
        <v>0.15</v>
      </c>
      <c r="BS238" s="32" t="str">
        <f>IF(L238="NoDataSource","D",IF(IFERROR(IF($T238="",#N/A,$T238),0)=0,IF(OR(IFERROR(IF($S238="",#N/A,$S238),0)&gt;0,$R238="Refurbish"),"D","E"),IF($L238="DesignDataPlusQA","A",IF($L238="DesignData","B","C"))))</f>
        <v>C</v>
      </c>
      <c r="BT238" s="20" t="str">
        <f ca="1">OFFSET(Tab.Uncertainty.Levels!$A$1,MATCH(BT$88,Tab.Uncertainty.Levels!$A:$A,0)-1,MATCH(BT$87&amp;"_"&amp;BS238,Tab.Uncertainty.Levels!$1:$1,0)-1)</f>
        <v>Insulation fraction determined by inspection onsite / record or statement of owner</v>
      </c>
      <c r="BU238" s="33">
        <f ca="1">OFFSET(Tab.Uncertainty.Levels!$A$1,MATCH(BU$88,Tab.Uncertainty.Levels!$A:$A,0)-1,MATCH(BU$87&amp;"_"&amp;BS238,Tab.Uncertainty.Levels!$1:$1,0)-1)</f>
        <v>0.2</v>
      </c>
      <c r="BV238" s="13">
        <f ca="1">IFERROR(MIN(BU238/AW238,1,(1-AW238)/AW238),0)</f>
        <v>0.4</v>
      </c>
      <c r="BW238" s="96">
        <f ca="1">ABS(1+(AW238*(1/(1+AN238/100/AP238*AG238)^2-1)))*BJ238*$AG238</f>
        <v>0.18535077288941737</v>
      </c>
      <c r="BX238" s="96">
        <f ca="1">ABS(-AG238+1/(1/AG238+AN238/100/AP238))*BV238*AW238</f>
        <v>0.19862068965517243</v>
      </c>
      <c r="BY238" s="96">
        <f ca="1">ABS(-AW238*AP238/((AP238/AG238+AN238/100)^2))*(BO238*AN238/100)</f>
        <v>1.4268727705112963E-2</v>
      </c>
      <c r="BZ238" s="202">
        <f ca="1">ABS(AW238*AN238/100/(1/AG238*AP238+AN238/100)^2)*(BR238*AP238)</f>
        <v>1.2841854934601665E-2</v>
      </c>
      <c r="CA238" s="103">
        <f t="shared" ca="1" si="198"/>
        <v>0.2723483012583055</v>
      </c>
      <c r="CB238" s="37">
        <f t="shared" ca="1" si="219"/>
        <v>0.26348884381338744</v>
      </c>
      <c r="CC238" s="37">
        <f t="shared" ca="1" si="220"/>
        <v>0.28235294117647064</v>
      </c>
      <c r="CD238" s="37">
        <f t="shared" ca="1" si="221"/>
        <v>2.0283975659229212E-2</v>
      </c>
      <c r="CE238" s="37">
        <f t="shared" ca="1" si="222"/>
        <v>1.8255578093306288E-2</v>
      </c>
      <c r="CF238" s="13">
        <f t="shared" ca="1" si="223"/>
        <v>0.38716180080837542</v>
      </c>
      <c r="CG238" s="101">
        <f ca="1">AG238</f>
        <v>1.2</v>
      </c>
      <c r="CH238" s="101">
        <f>AW238</f>
        <v>0.5</v>
      </c>
      <c r="CI238" s="203">
        <f>IF(CH238&gt;0,AN238,0)</f>
        <v>12</v>
      </c>
      <c r="CJ238" s="102">
        <f>IF(AND(CH238&gt;0,CI238&gt;0),AP238,0)</f>
        <v>3.0000000000000002E-2</v>
      </c>
      <c r="CK238" s="102">
        <f ca="1">BB238</f>
        <v>0.70344827586206893</v>
      </c>
      <c r="CL238" s="37">
        <f t="shared" ca="1" si="199"/>
        <v>0.3</v>
      </c>
      <c r="CM238" s="37">
        <f t="shared" ca="1" si="200"/>
        <v>0.4</v>
      </c>
      <c r="CN238" s="37">
        <f t="shared" ca="1" si="201"/>
        <v>0.16666666666666666</v>
      </c>
      <c r="CO238" s="37">
        <f t="shared" ca="1" si="202"/>
        <v>0.15</v>
      </c>
      <c r="CP238" s="37">
        <f t="shared" ca="1" si="203"/>
        <v>0.38716180080837542</v>
      </c>
      <c r="CQ238" s="95">
        <f t="shared" ca="1" si="204"/>
        <v>0.36</v>
      </c>
      <c r="CR238" s="95">
        <f t="shared" ca="1" si="205"/>
        <v>0.2</v>
      </c>
      <c r="CS238" s="95">
        <f t="shared" ca="1" si="206"/>
        <v>2</v>
      </c>
      <c r="CT238" s="103">
        <f t="shared" ca="1" si="207"/>
        <v>4.5000000000000005E-3</v>
      </c>
      <c r="CU238" s="95">
        <f t="shared" ca="1" si="208"/>
        <v>0.27234830125830545</v>
      </c>
      <c r="CV238" s="37">
        <f ca="1">$CB238^2/$CF238^2</f>
        <v>0.46316897532777129</v>
      </c>
      <c r="CW238" s="37">
        <f ca="1">$CD238^2/$CF238^2</f>
        <v>2.7448660711222252E-3</v>
      </c>
      <c r="CX238" s="37">
        <f ca="1">$CE238^2/$CF238^2</f>
        <v>2.2233415176090014E-3</v>
      </c>
      <c r="CY238" s="37">
        <f ca="1">$CC238^2/$CF238^2</f>
        <v>0.53186281708349759</v>
      </c>
      <c r="DA238" s="98" t="s">
        <v>214</v>
      </c>
      <c r="DB238" s="36">
        <f ca="1">OFFSET($A$1,ROW(DB238)-1,MATCH(DA238,$1:$1,0)-1)</f>
        <v>12</v>
      </c>
      <c r="DC238" s="9">
        <f ca="1">BB238</f>
        <v>0.70344827586206893</v>
      </c>
      <c r="DD238" s="9">
        <f ca="1">$DC238+$CA238</f>
        <v>0.97579657712037449</v>
      </c>
      <c r="DE238" s="9">
        <f ca="1">$DC238-$CA238</f>
        <v>0.43109997460376343</v>
      </c>
      <c r="DF238" s="10">
        <f t="shared" ca="1" si="181"/>
        <v>0.38716180080837559</v>
      </c>
    </row>
    <row r="239" spans="1:110" s="8" customFormat="1" ht="32.4" customHeight="1">
      <c r="A239" s="206" t="s">
        <v>675</v>
      </c>
      <c r="B239" s="208" t="s">
        <v>2346</v>
      </c>
      <c r="C239" s="206" t="str">
        <f t="shared" si="186"/>
        <v>Parameter-Variation: Lambda_Insulation_Effective = 0,035 W/(m·K)</v>
      </c>
      <c r="D239" s="206"/>
      <c r="E239" s="206" t="s">
        <v>200</v>
      </c>
      <c r="F239" s="206" t="str">
        <f t="shared" si="225"/>
        <v>0,035 W/(m·K)</v>
      </c>
      <c r="G239" s="206" t="s">
        <v>2170</v>
      </c>
      <c r="H239" s="206" t="s">
        <v>2171</v>
      </c>
      <c r="I239" s="156" t="s">
        <v>80</v>
      </c>
      <c r="J239" s="156" t="s">
        <v>134</v>
      </c>
      <c r="K239" s="156" t="s">
        <v>155</v>
      </c>
      <c r="L239" s="156" t="s">
        <v>66</v>
      </c>
      <c r="M239" s="156" t="s">
        <v>188</v>
      </c>
      <c r="N239" s="7">
        <v>1960</v>
      </c>
      <c r="O239" s="156">
        <v>1</v>
      </c>
      <c r="P239" s="156">
        <v>0</v>
      </c>
      <c r="Q239" s="156" t="s">
        <v>435</v>
      </c>
      <c r="R239" s="156" t="s">
        <v>58</v>
      </c>
      <c r="S239" s="19">
        <v>12</v>
      </c>
      <c r="T239" s="19">
        <v>0.5</v>
      </c>
      <c r="U239" s="19">
        <v>2016</v>
      </c>
      <c r="V239" s="19">
        <f t="shared" si="226"/>
        <v>3.5000000000000003E-2</v>
      </c>
      <c r="W239" s="28" t="s">
        <v>59</v>
      </c>
      <c r="X239" s="19" t="e">
        <v>#N/A</v>
      </c>
      <c r="Y239" s="105">
        <f ca="1">IFERROR(OFFSET(Tab.Const.ConstrBorder!$A$1,MATCH(Q239,Tab.Const.ConstrBorder!$A:$A,0)-1,MATCH(Y$87,Tab.Const.ConstrBorder!$1:$1,0)-1),0)</f>
        <v>0</v>
      </c>
      <c r="Z239" s="18">
        <f t="shared" si="188"/>
        <v>1960</v>
      </c>
      <c r="AA239" s="17">
        <f>MATCH(Z239,Tab.Year.Period!$11:$11,1)-3</f>
        <v>5</v>
      </c>
      <c r="AB239" s="17">
        <f>MATCH(AB$88&amp;"."&amp;TEXT(AA239,"00"),Tab.U.Default!$A:$A,0)</f>
        <v>28</v>
      </c>
      <c r="AC239" s="105">
        <f ca="1">OFFSET(Tab.U.Default!$A$1,$AB239-1,MATCH("U_Class_"&amp;IF($J239="TopCeiling","UpperCeiling",$J239)&amp;"_"&amp;AC$87,Tab.U.Default!$1:$1,0)-1)</f>
        <v>1.2</v>
      </c>
      <c r="AD239" s="105">
        <f ca="1">OFFSET(Tab.U.Default!$A$1,$AB239-1,MATCH("U_Class_"&amp;IF($J239="TopCeiling","UpperCeiling",$J239)&amp;"_"&amp;AD$87,Tab.U.Default!$1:$1,0)-1)</f>
        <v>1.2</v>
      </c>
      <c r="AE239" s="105">
        <f ca="1">OFFSET(Tab.U.Default!$A$1,$AB239-1,MATCH("U_Class_"&amp;IF($J239="TopCeiling","UpperCeiling",$J239)&amp;"_"&amp;AE$87,Tab.U.Default!$1:$1,0)-1)</f>
        <v>0.8</v>
      </c>
      <c r="AF239" s="26">
        <f t="shared" ca="1" si="189"/>
        <v>1.2</v>
      </c>
      <c r="AG239" s="26">
        <f t="shared" ca="1" si="190"/>
        <v>1.2</v>
      </c>
      <c r="AH239" s="18" t="str">
        <f t="shared" si="211"/>
        <v>Refurbish</v>
      </c>
      <c r="AI239" s="18" t="str">
        <f t="shared" si="191"/>
        <v>Add</v>
      </c>
      <c r="AJ239" s="18">
        <f t="shared" si="192"/>
        <v>2016</v>
      </c>
      <c r="AK239" s="17">
        <f>MATCH(AJ239,Tab.Year.Period!$11:$11,1)-3</f>
        <v>12</v>
      </c>
      <c r="AL239" s="17">
        <f>MATCH(AL$88&amp;"."&amp;TEXT(AK239,"00"),Tab.Insulation.Default!$A:$A,0)</f>
        <v>23</v>
      </c>
      <c r="AM239" s="20" t="e">
        <f ca="1">IF(ISNA(IF(S239="",#N/A,S239)),OFFSET(Tab.Insulation.Default!$A$1,$AL239-1,MATCH(AM$87&amp;"_"&amp;$K239,Tab.Insulation.Default!$1:$1,0)-1),#N/A)</f>
        <v>#N/A</v>
      </c>
      <c r="AN239" s="27">
        <f t="shared" si="193"/>
        <v>12</v>
      </c>
      <c r="AO239" s="22" t="e">
        <f ca="1">IF(ISNA(IF(V239="",#N/A,V239)),OFFSET(Tab.Insulation.Default!$A$1,$AL239-1,MATCH(AO$87&amp;"_"&amp;$K239,Tab.Insulation.Default!$1:$1,0)-1),#N/A)</f>
        <v>#N/A</v>
      </c>
      <c r="AP239" s="23">
        <f t="shared" si="194"/>
        <v>3.5000000000000003E-2</v>
      </c>
      <c r="AQ239" s="29" t="str">
        <f t="shared" si="212"/>
        <v>Gen.Refurbished.12</v>
      </c>
      <c r="AR239" s="17">
        <f>MATCH(AR$88&amp;"."&amp;AQ239,Tab.Measure.f.Default!$A:$A,0)</f>
        <v>23</v>
      </c>
      <c r="AS239" s="21">
        <f ca="1">OFFSET(Tab.Measure.f.Default!$A$1,AR239-1,MATCH(AS$87&amp;"_"&amp;$J239,Tab.Measure.f.Default!$1:$1,0)-1)</f>
        <v>0.75</v>
      </c>
      <c r="AT239" s="29" t="str">
        <f t="shared" si="213"/>
        <v>MUH.NA.05</v>
      </c>
      <c r="AU239" s="17">
        <f>MATCH(AU$88&amp;"."&amp;AT239,Tab.Measure.f.Default!$A:$A,0)</f>
        <v>40</v>
      </c>
      <c r="AV239" s="21">
        <f ca="1">OFFSET(Tab.Measure.f.Default!$A$1,AU239-1,MATCH(AV$87&amp;"_"&amp;$J239,Tab.Measure.f.Default!$1:$1,0)-1)</f>
        <v>0.37</v>
      </c>
      <c r="AW239" s="30">
        <f t="shared" si="195"/>
        <v>0.5</v>
      </c>
      <c r="AX239" s="9">
        <f t="shared" ca="1" si="214"/>
        <v>0.83333333333333337</v>
      </c>
      <c r="AY239" s="9">
        <f t="shared" si="215"/>
        <v>3.4285714285714279</v>
      </c>
      <c r="AZ239" s="9">
        <f t="shared" ca="1" si="196"/>
        <v>4.261904761904761</v>
      </c>
      <c r="BA239" s="9">
        <f t="shared" ca="1" si="197"/>
        <v>0.23463687150837995</v>
      </c>
      <c r="BB239" s="9">
        <f t="shared" ca="1" si="216"/>
        <v>0.71731843575418996</v>
      </c>
      <c r="BC239" s="32" t="str">
        <f t="shared" si="217"/>
        <v>D</v>
      </c>
      <c r="BD239" s="20" t="str">
        <f ca="1">OFFSET(Tab.Uncertainty.Levels!$A$1,MATCH(BD$88,Tab.Uncertainty.Levels!$A:$A,0)-1,MATCH(BD$87&amp;"_"&amp;BC239,Tab.Uncertainty.Levels!$1:$1,0)-1)</f>
        <v>Use of default values; building constructed until 1983</v>
      </c>
      <c r="BE239" s="24">
        <f ca="1">OFFSET(Tab.Uncertainty.Levels!$A$1,MATCH(BE$88,Tab.Uncertainty.Levels!$A:$A,0)-1,MATCH(BE$87&amp;"_"&amp;BC239,Tab.Uncertainty.Levels!$1:$1,0)-1)</f>
        <v>0.3</v>
      </c>
      <c r="BF239" s="32" t="str">
        <f t="shared" si="218"/>
        <v>-</v>
      </c>
      <c r="BG239" s="20" t="e">
        <f ca="1">OFFSET(Tab.Uncertainty.Levels!$A$1,MATCH(BG$88,Tab.Uncertainty.Levels!$A:$A,0)-1,MATCH(BG$87&amp;"_"&amp;BF239,Tab.Uncertainty.Levels!$1:$1,0)-1)</f>
        <v>#N/A</v>
      </c>
      <c r="BH239" s="24" t="e">
        <f ca="1">OFFSET(Tab.Uncertainty.Levels!$A$1,MATCH(BH$88,Tab.Uncertainty.Levels!$A:$A,0)-1,MATCH(BH$87&amp;"_"&amp;BF239,Tab.Uncertainty.Levels!$1:$1,0)-1)</f>
        <v>#N/A</v>
      </c>
      <c r="BI239" s="32" t="str">
        <f t="shared" si="224"/>
        <v>D</v>
      </c>
      <c r="BJ239" s="13">
        <f ca="1">IF(BF239="-",BE239,BH239)</f>
        <v>0.3</v>
      </c>
      <c r="BK239" s="32" t="str">
        <f>IF(OR($L239="NoDataSource",IFERROR(IF($S239="",#N/A,$S239),0)=0),IF(IFERROR(IF(U239="",#N/A,U239),0)=0,"E","D"),IF($L239="DesignDataPlusQA","A",IF($L239="DesignData","B","C")))</f>
        <v>C</v>
      </c>
      <c r="BL239" s="20" t="str">
        <f ca="1">OFFSET(Tab.Uncertainty.Levels!$A$1,MATCH(BL$88,Tab.Uncertainty.Levels!$A:$A,0)-1,MATCH(BL$87&amp;"_"&amp;BK239,Tab.Uncertainty.Levels!$1:$1,0)-1)</f>
        <v>Insulation thickness determined by inspection onsite / record or statement of owner</v>
      </c>
      <c r="BM239" s="24">
        <f ca="1">OFFSET(Tab.Uncertainty.Levels!$A$1,MATCH(BM$88,Tab.Uncertainty.Levels!$A:$A,0)-1,MATCH(BM$87&amp;"_"&amp;BK239,Tab.Uncertainty.Levels!$1:$1,0)-1)</f>
        <v>0.25</v>
      </c>
      <c r="BN239" s="34">
        <f ca="1">OFFSET(Tab.Uncertainty.Levels!$A$1,MATCH(BN$88,Tab.Uncertainty.Levels!$A:$A,0)-1,MATCH(BN$87&amp;"_"&amp;BK239,Tab.Uncertainty.Levels!$1:$1,0)-1)</f>
        <v>2</v>
      </c>
      <c r="BO239" s="13">
        <f ca="1">IFERROR(MIN(BM239,BN239/AN239),0)</f>
        <v>0.16666666666666666</v>
      </c>
      <c r="BP239" s="32" t="str">
        <f>IF(OR($L239="NoDataSource",IFERROR(IF($V239="",#N/A,$V239),0)=0),IF(IFERROR(IF(U239="",#N/A,U239),0)=0,"E","D"),IF($L239="DesignDataPlusQA","A",IF($L239="DesignData","B","C")))</f>
        <v>C</v>
      </c>
      <c r="BQ239" s="20" t="str">
        <f ca="1">OFFSET(Tab.Uncertainty.Levels!$A$1,MATCH(BQ$88,Tab.Uncertainty.Levels!$A:$A,0)-1,MATCH(BQ$87&amp;"_"&amp;BP239,Tab.Uncertainty.Levels!$1:$1,0)-1)</f>
        <v>Thermal conductivity of Insulation determined by inspection onsite / record or statement of owner</v>
      </c>
      <c r="BR239" s="97">
        <f ca="1">OFFSET(Tab.Uncertainty.Levels!$A$1,MATCH(BR$88,Tab.Uncertainty.Levels!$A:$A,0)-1,MATCH(BR$87&amp;"_"&amp;BP239,Tab.Uncertainty.Levels!$1:$1,0)-1)</f>
        <v>0.15</v>
      </c>
      <c r="BS239" s="32" t="str">
        <f>IF(L239="NoDataSource","D",IF(IFERROR(IF($T239="",#N/A,$T239),0)=0,IF(OR(IFERROR(IF($S239="",#N/A,$S239),0)&gt;0,$R239="Refurbish"),"D","E"),IF($L239="DesignDataPlusQA","A",IF($L239="DesignData","B","C"))))</f>
        <v>C</v>
      </c>
      <c r="BT239" s="20" t="str">
        <f ca="1">OFFSET(Tab.Uncertainty.Levels!$A$1,MATCH(BT$88,Tab.Uncertainty.Levels!$A:$A,0)-1,MATCH(BT$87&amp;"_"&amp;BS239,Tab.Uncertainty.Levels!$1:$1,0)-1)</f>
        <v>Insulation fraction determined by inspection onsite / record or statement of owner</v>
      </c>
      <c r="BU239" s="33">
        <f ca="1">OFFSET(Tab.Uncertainty.Levels!$A$1,MATCH(BU$88,Tab.Uncertainty.Levels!$A:$A,0)-1,MATCH(BU$87&amp;"_"&amp;BS239,Tab.Uncertainty.Levels!$1:$1,0)-1)</f>
        <v>0.2</v>
      </c>
      <c r="BV239" s="13">
        <f ca="1">IFERROR(MIN(BU239/AW239,1,(1-AW239)/AW239),0)</f>
        <v>0.4</v>
      </c>
      <c r="BW239" s="96">
        <f ca="1">ABS(1+(AW239*(1/(1+AN239/100/AP239*AG239)^2-1)))*BJ239*$AG239</f>
        <v>0.186881807683905</v>
      </c>
      <c r="BX239" s="96">
        <f ca="1">ABS(-AG239+1/(1/AG239+AN239/100/AP239))*BV239*AW239</f>
        <v>0.19307262569832401</v>
      </c>
      <c r="BY239" s="96">
        <f ca="1">ABS(-AW239*AP239/((AP239/AG239+AN239/100)^2))*(BO239*AN239/100)</f>
        <v>1.5729846134639992E-2</v>
      </c>
      <c r="BZ239" s="202">
        <f ca="1">ABS(AW239*AN239/100/(1/AG239*AP239+AN239/100)^2)*(BR239*AP239)</f>
        <v>1.4156861521175994E-2</v>
      </c>
      <c r="CA239" s="103">
        <f t="shared" ca="1" si="198"/>
        <v>0.26953607110143601</v>
      </c>
      <c r="CB239" s="37">
        <f t="shared" ca="1" si="219"/>
        <v>0.26052837675559964</v>
      </c>
      <c r="CC239" s="37">
        <f t="shared" ca="1" si="220"/>
        <v>0.26915887850467285</v>
      </c>
      <c r="CD239" s="37">
        <f t="shared" ca="1" si="221"/>
        <v>2.1928679580222418E-2</v>
      </c>
      <c r="CE239" s="37">
        <f t="shared" ca="1" si="222"/>
        <v>1.9735811622200179E-2</v>
      </c>
      <c r="CF239" s="13">
        <f t="shared" ca="1" si="223"/>
        <v>0.37575511469748479</v>
      </c>
      <c r="CG239" s="101">
        <f ca="1">AG239</f>
        <v>1.2</v>
      </c>
      <c r="CH239" s="101">
        <f>AW239</f>
        <v>0.5</v>
      </c>
      <c r="CI239" s="203">
        <f>IF(CH239&gt;0,AN239,0)</f>
        <v>12</v>
      </c>
      <c r="CJ239" s="102">
        <f>IF(AND(CH239&gt;0,CI239&gt;0),AP239,0)</f>
        <v>3.5000000000000003E-2</v>
      </c>
      <c r="CK239" s="102">
        <f ca="1">BB239</f>
        <v>0.71731843575418996</v>
      </c>
      <c r="CL239" s="37">
        <f t="shared" ca="1" si="199"/>
        <v>0.3</v>
      </c>
      <c r="CM239" s="37">
        <f t="shared" ca="1" si="200"/>
        <v>0.4</v>
      </c>
      <c r="CN239" s="37">
        <f t="shared" ca="1" si="201"/>
        <v>0.16666666666666666</v>
      </c>
      <c r="CO239" s="37">
        <f t="shared" ca="1" si="202"/>
        <v>0.15</v>
      </c>
      <c r="CP239" s="37">
        <f t="shared" ca="1" si="203"/>
        <v>0.37575511469748479</v>
      </c>
      <c r="CQ239" s="95">
        <f t="shared" ca="1" si="204"/>
        <v>0.36</v>
      </c>
      <c r="CR239" s="95">
        <f t="shared" ca="1" si="205"/>
        <v>0.2</v>
      </c>
      <c r="CS239" s="95">
        <f t="shared" ca="1" si="206"/>
        <v>2</v>
      </c>
      <c r="CT239" s="103">
        <f t="shared" ca="1" si="207"/>
        <v>5.2500000000000003E-3</v>
      </c>
      <c r="CU239" s="95">
        <f t="shared" ca="1" si="208"/>
        <v>0.26953607110143601</v>
      </c>
      <c r="CV239" s="37">
        <f ca="1">$CB239^2/$CF239^2</f>
        <v>0.48072893773749875</v>
      </c>
      <c r="CW239" s="37">
        <f ca="1">$CD239^2/$CF239^2</f>
        <v>3.405768793703366E-3</v>
      </c>
      <c r="CX239" s="37">
        <f ca="1">$CE239^2/$CF239^2</f>
        <v>2.7586727228997277E-3</v>
      </c>
      <c r="CY239" s="37">
        <f ca="1">$CC239^2/$CF239^2</f>
        <v>0.51310662074589819</v>
      </c>
      <c r="DA239" s="98" t="s">
        <v>214</v>
      </c>
      <c r="DB239" s="36">
        <f ca="1">OFFSET($A$1,ROW(DB239)-1,MATCH(DA239,$1:$1,0)-1)</f>
        <v>12</v>
      </c>
      <c r="DC239" s="9">
        <f ca="1">BB239</f>
        <v>0.71731843575418996</v>
      </c>
      <c r="DD239" s="9">
        <f ca="1">$DC239+$CA239</f>
        <v>0.98685450685562603</v>
      </c>
      <c r="DE239" s="9">
        <f ca="1">$DC239-$CA239</f>
        <v>0.44778236465275395</v>
      </c>
      <c r="DF239" s="10">
        <f t="shared" ca="1" si="181"/>
        <v>0.37575511469748485</v>
      </c>
    </row>
    <row r="240" spans="1:110" s="8" customFormat="1" ht="32.4" customHeight="1">
      <c r="A240" s="206" t="s">
        <v>676</v>
      </c>
      <c r="B240" s="208" t="s">
        <v>2346</v>
      </c>
      <c r="C240" s="206" t="str">
        <f t="shared" si="186"/>
        <v>Parameter-Variation: Lambda_Insulation_Effective = 0,040 W/(m·K)</v>
      </c>
      <c r="D240" s="206"/>
      <c r="E240" s="206" t="s">
        <v>200</v>
      </c>
      <c r="F240" s="206" t="str">
        <f t="shared" si="225"/>
        <v>0,040 W/(m·K)</v>
      </c>
      <c r="G240" s="206" t="s">
        <v>2170</v>
      </c>
      <c r="H240" s="206" t="s">
        <v>2171</v>
      </c>
      <c r="I240" s="156" t="s">
        <v>80</v>
      </c>
      <c r="J240" s="156" t="s">
        <v>134</v>
      </c>
      <c r="K240" s="156" t="s">
        <v>155</v>
      </c>
      <c r="L240" s="156" t="s">
        <v>66</v>
      </c>
      <c r="M240" s="156" t="s">
        <v>188</v>
      </c>
      <c r="N240" s="7">
        <v>1960</v>
      </c>
      <c r="O240" s="156">
        <v>1</v>
      </c>
      <c r="P240" s="156">
        <v>0</v>
      </c>
      <c r="Q240" s="156" t="s">
        <v>435</v>
      </c>
      <c r="R240" s="156" t="s">
        <v>58</v>
      </c>
      <c r="S240" s="19">
        <v>12</v>
      </c>
      <c r="T240" s="19">
        <v>0.5</v>
      </c>
      <c r="U240" s="19">
        <v>2016</v>
      </c>
      <c r="V240" s="19">
        <f t="shared" si="226"/>
        <v>0.04</v>
      </c>
      <c r="W240" s="28" t="s">
        <v>59</v>
      </c>
      <c r="X240" s="19" t="e">
        <v>#N/A</v>
      </c>
      <c r="Y240" s="105">
        <f ca="1">IFERROR(OFFSET(Tab.Const.ConstrBorder!$A$1,MATCH(Q240,Tab.Const.ConstrBorder!$A:$A,0)-1,MATCH(Y$87,Tab.Const.ConstrBorder!$1:$1,0)-1),0)</f>
        <v>0</v>
      </c>
      <c r="Z240" s="18">
        <f t="shared" si="188"/>
        <v>1960</v>
      </c>
      <c r="AA240" s="17">
        <f>MATCH(Z240,Tab.Year.Period!$11:$11,1)-3</f>
        <v>5</v>
      </c>
      <c r="AB240" s="17">
        <f>MATCH(AB$88&amp;"."&amp;TEXT(AA240,"00"),Tab.U.Default!$A:$A,0)</f>
        <v>28</v>
      </c>
      <c r="AC240" s="105">
        <f ca="1">OFFSET(Tab.U.Default!$A$1,$AB240-1,MATCH("U_Class_"&amp;IF($J240="TopCeiling","UpperCeiling",$J240)&amp;"_"&amp;AC$87,Tab.U.Default!$1:$1,0)-1)</f>
        <v>1.2</v>
      </c>
      <c r="AD240" s="105">
        <f ca="1">OFFSET(Tab.U.Default!$A$1,$AB240-1,MATCH("U_Class_"&amp;IF($J240="TopCeiling","UpperCeiling",$J240)&amp;"_"&amp;AD$87,Tab.U.Default!$1:$1,0)-1)</f>
        <v>1.2</v>
      </c>
      <c r="AE240" s="105">
        <f ca="1">OFFSET(Tab.U.Default!$A$1,$AB240-1,MATCH("U_Class_"&amp;IF($J240="TopCeiling","UpperCeiling",$J240)&amp;"_"&amp;AE$87,Tab.U.Default!$1:$1,0)-1)</f>
        <v>0.8</v>
      </c>
      <c r="AF240" s="26">
        <f t="shared" ca="1" si="189"/>
        <v>1.2</v>
      </c>
      <c r="AG240" s="26">
        <f t="shared" ca="1" si="190"/>
        <v>1.2</v>
      </c>
      <c r="AH240" s="18" t="str">
        <f t="shared" si="211"/>
        <v>Refurbish</v>
      </c>
      <c r="AI240" s="18" t="str">
        <f t="shared" si="191"/>
        <v>Add</v>
      </c>
      <c r="AJ240" s="18">
        <f t="shared" si="192"/>
        <v>2016</v>
      </c>
      <c r="AK240" s="17">
        <f>MATCH(AJ240,Tab.Year.Period!$11:$11,1)-3</f>
        <v>12</v>
      </c>
      <c r="AL240" s="17">
        <f>MATCH(AL$88&amp;"."&amp;TEXT(AK240,"00"),Tab.Insulation.Default!$A:$A,0)</f>
        <v>23</v>
      </c>
      <c r="AM240" s="20" t="e">
        <f ca="1">IF(ISNA(IF(S240="",#N/A,S240)),OFFSET(Tab.Insulation.Default!$A$1,$AL240-1,MATCH(AM$87&amp;"_"&amp;$K240,Tab.Insulation.Default!$1:$1,0)-1),#N/A)</f>
        <v>#N/A</v>
      </c>
      <c r="AN240" s="27">
        <f t="shared" si="193"/>
        <v>12</v>
      </c>
      <c r="AO240" s="22" t="e">
        <f ca="1">IF(ISNA(IF(V240="",#N/A,V240)),OFFSET(Tab.Insulation.Default!$A$1,$AL240-1,MATCH(AO$87&amp;"_"&amp;$K240,Tab.Insulation.Default!$1:$1,0)-1),#N/A)</f>
        <v>#N/A</v>
      </c>
      <c r="AP240" s="23">
        <f t="shared" si="194"/>
        <v>0.04</v>
      </c>
      <c r="AQ240" s="29" t="str">
        <f t="shared" si="212"/>
        <v>Gen.Refurbished.12</v>
      </c>
      <c r="AR240" s="17">
        <f>MATCH(AR$88&amp;"."&amp;AQ240,Tab.Measure.f.Default!$A:$A,0)</f>
        <v>23</v>
      </c>
      <c r="AS240" s="21">
        <f ca="1">OFFSET(Tab.Measure.f.Default!$A$1,AR240-1,MATCH(AS$87&amp;"_"&amp;$J240,Tab.Measure.f.Default!$1:$1,0)-1)</f>
        <v>0.75</v>
      </c>
      <c r="AT240" s="29" t="str">
        <f t="shared" si="213"/>
        <v>MUH.NA.05</v>
      </c>
      <c r="AU240" s="17">
        <f>MATCH(AU$88&amp;"."&amp;AT240,Tab.Measure.f.Default!$A:$A,0)</f>
        <v>40</v>
      </c>
      <c r="AV240" s="21">
        <f ca="1">OFFSET(Tab.Measure.f.Default!$A$1,AU240-1,MATCH(AV$87&amp;"_"&amp;$J240,Tab.Measure.f.Default!$1:$1,0)-1)</f>
        <v>0.37</v>
      </c>
      <c r="AW240" s="30">
        <f t="shared" si="195"/>
        <v>0.5</v>
      </c>
      <c r="AX240" s="9">
        <f t="shared" ca="1" si="214"/>
        <v>0.83333333333333337</v>
      </c>
      <c r="AY240" s="9">
        <f t="shared" si="215"/>
        <v>3</v>
      </c>
      <c r="AZ240" s="9">
        <f t="shared" ca="1" si="196"/>
        <v>3.8333333333333335</v>
      </c>
      <c r="BA240" s="9">
        <f t="shared" ca="1" si="197"/>
        <v>0.2608695652173913</v>
      </c>
      <c r="BB240" s="9">
        <f t="shared" ca="1" si="216"/>
        <v>0.73043478260869565</v>
      </c>
      <c r="BC240" s="32" t="str">
        <f t="shared" si="217"/>
        <v>D</v>
      </c>
      <c r="BD240" s="20" t="str">
        <f ca="1">OFFSET(Tab.Uncertainty.Levels!$A$1,MATCH(BD$88,Tab.Uncertainty.Levels!$A:$A,0)-1,MATCH(BD$87&amp;"_"&amp;BC240,Tab.Uncertainty.Levels!$1:$1,0)-1)</f>
        <v>Use of default values; building constructed until 1983</v>
      </c>
      <c r="BE240" s="24">
        <f ca="1">OFFSET(Tab.Uncertainty.Levels!$A$1,MATCH(BE$88,Tab.Uncertainty.Levels!$A:$A,0)-1,MATCH(BE$87&amp;"_"&amp;BC240,Tab.Uncertainty.Levels!$1:$1,0)-1)</f>
        <v>0.3</v>
      </c>
      <c r="BF240" s="32" t="str">
        <f t="shared" si="218"/>
        <v>-</v>
      </c>
      <c r="BG240" s="20" t="e">
        <f ca="1">OFFSET(Tab.Uncertainty.Levels!$A$1,MATCH(BG$88,Tab.Uncertainty.Levels!$A:$A,0)-1,MATCH(BG$87&amp;"_"&amp;BF240,Tab.Uncertainty.Levels!$1:$1,0)-1)</f>
        <v>#N/A</v>
      </c>
      <c r="BH240" s="24" t="e">
        <f ca="1">OFFSET(Tab.Uncertainty.Levels!$A$1,MATCH(BH$88,Tab.Uncertainty.Levels!$A:$A,0)-1,MATCH(BH$87&amp;"_"&amp;BF240,Tab.Uncertainty.Levels!$1:$1,0)-1)</f>
        <v>#N/A</v>
      </c>
      <c r="BI240" s="32" t="str">
        <f t="shared" si="224"/>
        <v>D</v>
      </c>
      <c r="BJ240" s="13">
        <f ca="1">IF(BF240="-",BE240,BH240)</f>
        <v>0.3</v>
      </c>
      <c r="BK240" s="32" t="str">
        <f>IF(OR($L240="NoDataSource",IFERROR(IF($S240="",#N/A,$S240),0)=0),IF(IFERROR(IF(U240="",#N/A,U240),0)=0,"E","D"),IF($L240="DesignDataPlusQA","A",IF($L240="DesignData","B","C")))</f>
        <v>C</v>
      </c>
      <c r="BL240" s="20" t="str">
        <f ca="1">OFFSET(Tab.Uncertainty.Levels!$A$1,MATCH(BL$88,Tab.Uncertainty.Levels!$A:$A,0)-1,MATCH(BL$87&amp;"_"&amp;BK240,Tab.Uncertainty.Levels!$1:$1,0)-1)</f>
        <v>Insulation thickness determined by inspection onsite / record or statement of owner</v>
      </c>
      <c r="BM240" s="24">
        <f ca="1">OFFSET(Tab.Uncertainty.Levels!$A$1,MATCH(BM$88,Tab.Uncertainty.Levels!$A:$A,0)-1,MATCH(BM$87&amp;"_"&amp;BK240,Tab.Uncertainty.Levels!$1:$1,0)-1)</f>
        <v>0.25</v>
      </c>
      <c r="BN240" s="34">
        <f ca="1">OFFSET(Tab.Uncertainty.Levels!$A$1,MATCH(BN$88,Tab.Uncertainty.Levels!$A:$A,0)-1,MATCH(BN$87&amp;"_"&amp;BK240,Tab.Uncertainty.Levels!$1:$1,0)-1)</f>
        <v>2</v>
      </c>
      <c r="BO240" s="13">
        <f ca="1">IFERROR(MIN(BM240,BN240/AN240),0)</f>
        <v>0.16666666666666666</v>
      </c>
      <c r="BP240" s="32" t="str">
        <f>IF(OR($L240="NoDataSource",IFERROR(IF($V240="",#N/A,$V240),0)=0),IF(IFERROR(IF(U240="",#N/A,U240),0)=0,"E","D"),IF($L240="DesignDataPlusQA","A",IF($L240="DesignData","B","C")))</f>
        <v>C</v>
      </c>
      <c r="BQ240" s="20" t="str">
        <f ca="1">OFFSET(Tab.Uncertainty.Levels!$A$1,MATCH(BQ$88,Tab.Uncertainty.Levels!$A:$A,0)-1,MATCH(BQ$87&amp;"_"&amp;BP240,Tab.Uncertainty.Levels!$1:$1,0)-1)</f>
        <v>Thermal conductivity of Insulation determined by inspection onsite / record or statement of owner</v>
      </c>
      <c r="BR240" s="97">
        <f ca="1">OFFSET(Tab.Uncertainty.Levels!$A$1,MATCH(BR$88,Tab.Uncertainty.Levels!$A:$A,0)-1,MATCH(BR$87&amp;"_"&amp;BP240,Tab.Uncertainty.Levels!$1:$1,0)-1)</f>
        <v>0.15</v>
      </c>
      <c r="BS240" s="32" t="str">
        <f>IF(L240="NoDataSource","D",IF(IFERROR(IF($T240="",#N/A,$T240),0)=0,IF(OR(IFERROR(IF($S240="",#N/A,$S240),0)&gt;0,$R240="Refurbish"),"D","E"),IF($L240="DesignDataPlusQA","A",IF($L240="DesignData","B","C"))))</f>
        <v>C</v>
      </c>
      <c r="BT240" s="20" t="str">
        <f ca="1">OFFSET(Tab.Uncertainty.Levels!$A$1,MATCH(BT$88,Tab.Uncertainty.Levels!$A:$A,0)-1,MATCH(BT$87&amp;"_"&amp;BS240,Tab.Uncertainty.Levels!$1:$1,0)-1)</f>
        <v>Insulation fraction determined by inspection onsite / record or statement of owner</v>
      </c>
      <c r="BU240" s="33">
        <f ca="1">OFFSET(Tab.Uncertainty.Levels!$A$1,MATCH(BU$88,Tab.Uncertainty.Levels!$A:$A,0)-1,MATCH(BU$87&amp;"_"&amp;BS240,Tab.Uncertainty.Levels!$1:$1,0)-1)</f>
        <v>0.2</v>
      </c>
      <c r="BV240" s="13">
        <f ca="1">IFERROR(MIN(BU240/AW240,1,(1-AW240)/AW240),0)</f>
        <v>0.4</v>
      </c>
      <c r="BW240" s="96">
        <f ca="1">ABS(1+(AW240*(1/(1+AN240/100/AP240*AG240)^2-1)))*BJ240*$AG240</f>
        <v>0.18850661625708884</v>
      </c>
      <c r="BX240" s="96">
        <f ca="1">ABS(-AG240+1/(1/AG240+AN240/100/AP240))*BV240*AW240</f>
        <v>0.18782608695652173</v>
      </c>
      <c r="BY240" s="96">
        <f ca="1">ABS(-AW240*AP240/((AP240/AG240+AN240/100)^2))*(BO240*AN240/100)</f>
        <v>1.7013232514177697E-2</v>
      </c>
      <c r="BZ240" s="202">
        <f ca="1">ABS(AW240*AN240/100/(1/AG240*AP240+AN240/100)^2)*(BR240*AP240)</f>
        <v>1.5311909262759927E-2</v>
      </c>
      <c r="CA240" s="103">
        <f t="shared" ca="1" si="198"/>
        <v>0.26709041158369701</v>
      </c>
      <c r="CB240" s="37">
        <f t="shared" ca="1" si="219"/>
        <v>0.25807453416149068</v>
      </c>
      <c r="CC240" s="37">
        <f t="shared" ca="1" si="220"/>
        <v>0.25714285714285712</v>
      </c>
      <c r="CD240" s="37">
        <f t="shared" ca="1" si="221"/>
        <v>2.3291925465838512E-2</v>
      </c>
      <c r="CE240" s="37">
        <f t="shared" ca="1" si="222"/>
        <v>2.0962732919254663E-2</v>
      </c>
      <c r="CF240" s="13">
        <f t="shared" ca="1" si="223"/>
        <v>0.36565949204910903</v>
      </c>
      <c r="CG240" s="101">
        <f ca="1">AG240</f>
        <v>1.2</v>
      </c>
      <c r="CH240" s="101">
        <f>AW240</f>
        <v>0.5</v>
      </c>
      <c r="CI240" s="203">
        <f>IF(CH240&gt;0,AN240,0)</f>
        <v>12</v>
      </c>
      <c r="CJ240" s="102">
        <f>IF(AND(CH240&gt;0,CI240&gt;0),AP240,0)</f>
        <v>0.04</v>
      </c>
      <c r="CK240" s="102">
        <f ca="1">BB240</f>
        <v>0.73043478260869565</v>
      </c>
      <c r="CL240" s="37">
        <f t="shared" ca="1" si="199"/>
        <v>0.3</v>
      </c>
      <c r="CM240" s="37">
        <f t="shared" ca="1" si="200"/>
        <v>0.4</v>
      </c>
      <c r="CN240" s="37">
        <f t="shared" ca="1" si="201"/>
        <v>0.16666666666666666</v>
      </c>
      <c r="CO240" s="37">
        <f t="shared" ca="1" si="202"/>
        <v>0.15</v>
      </c>
      <c r="CP240" s="37">
        <f t="shared" ca="1" si="203"/>
        <v>0.36565949204910903</v>
      </c>
      <c r="CQ240" s="95">
        <f t="shared" ca="1" si="204"/>
        <v>0.36</v>
      </c>
      <c r="CR240" s="95">
        <f t="shared" ca="1" si="205"/>
        <v>0.2</v>
      </c>
      <c r="CS240" s="95">
        <f t="shared" ca="1" si="206"/>
        <v>2</v>
      </c>
      <c r="CT240" s="103">
        <f t="shared" ca="1" si="207"/>
        <v>6.0000000000000001E-3</v>
      </c>
      <c r="CU240" s="95">
        <f t="shared" ca="1" si="208"/>
        <v>0.26709041158369701</v>
      </c>
      <c r="CV240" s="37">
        <f ca="1">$CB240^2/$CF240^2</f>
        <v>0.4981230067597725</v>
      </c>
      <c r="CW240" s="37">
        <f ca="1">$CD240^2/$CF240^2</f>
        <v>4.0574864682826296E-3</v>
      </c>
      <c r="CX240" s="37">
        <f ca="1">$CE240^2/$CF240^2</f>
        <v>3.2865640393089307E-3</v>
      </c>
      <c r="CY240" s="37">
        <f ca="1">$CC240^2/$CF240^2</f>
        <v>0.49453294273263598</v>
      </c>
      <c r="DA240" s="98" t="s">
        <v>214</v>
      </c>
      <c r="DB240" s="36">
        <f ca="1">OFFSET($A$1,ROW(DB240)-1,MATCH(DA240,$1:$1,0)-1)</f>
        <v>12</v>
      </c>
      <c r="DC240" s="9">
        <f ca="1">BB240</f>
        <v>0.73043478260869565</v>
      </c>
      <c r="DD240" s="9">
        <f ca="1">$DC240+$CA240</f>
        <v>0.99752519419239261</v>
      </c>
      <c r="DE240" s="9">
        <f ca="1">$DC240-$CA240</f>
        <v>0.46334437102499865</v>
      </c>
      <c r="DF240" s="10">
        <f t="shared" ca="1" si="181"/>
        <v>0.36565949204910891</v>
      </c>
    </row>
    <row r="241" spans="1:110" s="8" customFormat="1" ht="32.4" customHeight="1">
      <c r="A241" s="206" t="s">
        <v>677</v>
      </c>
      <c r="B241" s="208" t="s">
        <v>2346</v>
      </c>
      <c r="C241" s="206" t="str">
        <f t="shared" si="186"/>
        <v>Parameter-Variation: Lambda_Insulation_Effective = 0,045 W/(m·K)</v>
      </c>
      <c r="D241" s="206"/>
      <c r="E241" s="206" t="s">
        <v>200</v>
      </c>
      <c r="F241" s="206" t="str">
        <f t="shared" si="225"/>
        <v>0,045 W/(m·K)</v>
      </c>
      <c r="G241" s="206" t="s">
        <v>2170</v>
      </c>
      <c r="H241" s="206" t="s">
        <v>2171</v>
      </c>
      <c r="I241" s="156" t="s">
        <v>80</v>
      </c>
      <c r="J241" s="156" t="s">
        <v>134</v>
      </c>
      <c r="K241" s="156" t="s">
        <v>155</v>
      </c>
      <c r="L241" s="156" t="s">
        <v>66</v>
      </c>
      <c r="M241" s="156" t="s">
        <v>188</v>
      </c>
      <c r="N241" s="7">
        <v>1960</v>
      </c>
      <c r="O241" s="156">
        <v>1</v>
      </c>
      <c r="P241" s="156">
        <v>0</v>
      </c>
      <c r="Q241" s="156" t="s">
        <v>435</v>
      </c>
      <c r="R241" s="156" t="s">
        <v>58</v>
      </c>
      <c r="S241" s="19">
        <v>12</v>
      </c>
      <c r="T241" s="19">
        <v>0.5</v>
      </c>
      <c r="U241" s="19">
        <v>2016</v>
      </c>
      <c r="V241" s="19">
        <f t="shared" si="226"/>
        <v>4.4999999999999998E-2</v>
      </c>
      <c r="W241" s="28" t="s">
        <v>59</v>
      </c>
      <c r="X241" s="19" t="e">
        <v>#N/A</v>
      </c>
      <c r="Y241" s="105">
        <f ca="1">IFERROR(OFFSET(Tab.Const.ConstrBorder!$A$1,MATCH(Q241,Tab.Const.ConstrBorder!$A:$A,0)-1,MATCH(Y$87,Tab.Const.ConstrBorder!$1:$1,0)-1),0)</f>
        <v>0</v>
      </c>
      <c r="Z241" s="18">
        <f t="shared" si="188"/>
        <v>1960</v>
      </c>
      <c r="AA241" s="17">
        <f>MATCH(Z241,Tab.Year.Period!$11:$11,1)-3</f>
        <v>5</v>
      </c>
      <c r="AB241" s="17">
        <f>MATCH(AB$88&amp;"."&amp;TEXT(AA241,"00"),Tab.U.Default!$A:$A,0)</f>
        <v>28</v>
      </c>
      <c r="AC241" s="105">
        <f ca="1">OFFSET(Tab.U.Default!$A$1,$AB241-1,MATCH("U_Class_"&amp;IF($J241="TopCeiling","UpperCeiling",$J241)&amp;"_"&amp;AC$87,Tab.U.Default!$1:$1,0)-1)</f>
        <v>1.2</v>
      </c>
      <c r="AD241" s="105">
        <f ca="1">OFFSET(Tab.U.Default!$A$1,$AB241-1,MATCH("U_Class_"&amp;IF($J241="TopCeiling","UpperCeiling",$J241)&amp;"_"&amp;AD$87,Tab.U.Default!$1:$1,0)-1)</f>
        <v>1.2</v>
      </c>
      <c r="AE241" s="105">
        <f ca="1">OFFSET(Tab.U.Default!$A$1,$AB241-1,MATCH("U_Class_"&amp;IF($J241="TopCeiling","UpperCeiling",$J241)&amp;"_"&amp;AE$87,Tab.U.Default!$1:$1,0)-1)</f>
        <v>0.8</v>
      </c>
      <c r="AF241" s="26">
        <f t="shared" ca="1" si="189"/>
        <v>1.2</v>
      </c>
      <c r="AG241" s="26">
        <f t="shared" ca="1" si="190"/>
        <v>1.2</v>
      </c>
      <c r="AH241" s="18" t="str">
        <f t="shared" si="211"/>
        <v>Refurbish</v>
      </c>
      <c r="AI241" s="18" t="str">
        <f t="shared" si="191"/>
        <v>Add</v>
      </c>
      <c r="AJ241" s="18">
        <f t="shared" si="192"/>
        <v>2016</v>
      </c>
      <c r="AK241" s="17">
        <f>MATCH(AJ241,Tab.Year.Period!$11:$11,1)-3</f>
        <v>12</v>
      </c>
      <c r="AL241" s="17">
        <f>MATCH(AL$88&amp;"."&amp;TEXT(AK241,"00"),Tab.Insulation.Default!$A:$A,0)</f>
        <v>23</v>
      </c>
      <c r="AM241" s="20" t="e">
        <f ca="1">IF(ISNA(IF(S241="",#N/A,S241)),OFFSET(Tab.Insulation.Default!$A$1,$AL241-1,MATCH(AM$87&amp;"_"&amp;$K241,Tab.Insulation.Default!$1:$1,0)-1),#N/A)</f>
        <v>#N/A</v>
      </c>
      <c r="AN241" s="27">
        <f t="shared" si="193"/>
        <v>12</v>
      </c>
      <c r="AO241" s="22" t="e">
        <f ca="1">IF(ISNA(IF(V241="",#N/A,V241)),OFFSET(Tab.Insulation.Default!$A$1,$AL241-1,MATCH(AO$87&amp;"_"&amp;$K241,Tab.Insulation.Default!$1:$1,0)-1),#N/A)</f>
        <v>#N/A</v>
      </c>
      <c r="AP241" s="23">
        <f t="shared" si="194"/>
        <v>4.4999999999999998E-2</v>
      </c>
      <c r="AQ241" s="29" t="str">
        <f t="shared" si="212"/>
        <v>Gen.Refurbished.12</v>
      </c>
      <c r="AR241" s="17">
        <f>MATCH(AR$88&amp;"."&amp;AQ241,Tab.Measure.f.Default!$A:$A,0)</f>
        <v>23</v>
      </c>
      <c r="AS241" s="21">
        <f ca="1">OFFSET(Tab.Measure.f.Default!$A$1,AR241-1,MATCH(AS$87&amp;"_"&amp;$J241,Tab.Measure.f.Default!$1:$1,0)-1)</f>
        <v>0.75</v>
      </c>
      <c r="AT241" s="29" t="str">
        <f t="shared" si="213"/>
        <v>MUH.NA.05</v>
      </c>
      <c r="AU241" s="17">
        <f>MATCH(AU$88&amp;"."&amp;AT241,Tab.Measure.f.Default!$A:$A,0)</f>
        <v>40</v>
      </c>
      <c r="AV241" s="21">
        <f ca="1">OFFSET(Tab.Measure.f.Default!$A$1,AU241-1,MATCH(AV$87&amp;"_"&amp;$J241,Tab.Measure.f.Default!$1:$1,0)-1)</f>
        <v>0.37</v>
      </c>
      <c r="AW241" s="30">
        <f t="shared" si="195"/>
        <v>0.5</v>
      </c>
      <c r="AX241" s="9">
        <f t="shared" ca="1" si="214"/>
        <v>0.83333333333333337</v>
      </c>
      <c r="AY241" s="9">
        <f t="shared" si="215"/>
        <v>2.6666666666666665</v>
      </c>
      <c r="AZ241" s="9">
        <f t="shared" ca="1" si="196"/>
        <v>3.5</v>
      </c>
      <c r="BA241" s="9">
        <f t="shared" ca="1" si="197"/>
        <v>0.2857142857142857</v>
      </c>
      <c r="BB241" s="9">
        <f t="shared" ca="1" si="216"/>
        <v>0.74285714285714288</v>
      </c>
      <c r="BC241" s="32" t="str">
        <f t="shared" si="217"/>
        <v>D</v>
      </c>
      <c r="BD241" s="20" t="str">
        <f ca="1">OFFSET(Tab.Uncertainty.Levels!$A$1,MATCH(BD$88,Tab.Uncertainty.Levels!$A:$A,0)-1,MATCH(BD$87&amp;"_"&amp;BC241,Tab.Uncertainty.Levels!$1:$1,0)-1)</f>
        <v>Use of default values; building constructed until 1983</v>
      </c>
      <c r="BE241" s="24">
        <f ca="1">OFFSET(Tab.Uncertainty.Levels!$A$1,MATCH(BE$88,Tab.Uncertainty.Levels!$A:$A,0)-1,MATCH(BE$87&amp;"_"&amp;BC241,Tab.Uncertainty.Levels!$1:$1,0)-1)</f>
        <v>0.3</v>
      </c>
      <c r="BF241" s="32" t="str">
        <f t="shared" si="218"/>
        <v>-</v>
      </c>
      <c r="BG241" s="20" t="e">
        <f ca="1">OFFSET(Tab.Uncertainty.Levels!$A$1,MATCH(BG$88,Tab.Uncertainty.Levels!$A:$A,0)-1,MATCH(BG$87&amp;"_"&amp;BF241,Tab.Uncertainty.Levels!$1:$1,0)-1)</f>
        <v>#N/A</v>
      </c>
      <c r="BH241" s="24" t="e">
        <f ca="1">OFFSET(Tab.Uncertainty.Levels!$A$1,MATCH(BH$88,Tab.Uncertainty.Levels!$A:$A,0)-1,MATCH(BH$87&amp;"_"&amp;BF241,Tab.Uncertainty.Levels!$1:$1,0)-1)</f>
        <v>#N/A</v>
      </c>
      <c r="BI241" s="32" t="str">
        <f t="shared" si="224"/>
        <v>D</v>
      </c>
      <c r="BJ241" s="13">
        <f ca="1">IF(BF241="-",BE241,BH241)</f>
        <v>0.3</v>
      </c>
      <c r="BK241" s="32" t="str">
        <f>IF(OR($L241="NoDataSource",IFERROR(IF($S241="",#N/A,$S241),0)=0),IF(IFERROR(IF(U241="",#N/A,U241),0)=0,"E","D"),IF($L241="DesignDataPlusQA","A",IF($L241="DesignData","B","C")))</f>
        <v>C</v>
      </c>
      <c r="BL241" s="20" t="str">
        <f ca="1">OFFSET(Tab.Uncertainty.Levels!$A$1,MATCH(BL$88,Tab.Uncertainty.Levels!$A:$A,0)-1,MATCH(BL$87&amp;"_"&amp;BK241,Tab.Uncertainty.Levels!$1:$1,0)-1)</f>
        <v>Insulation thickness determined by inspection onsite / record or statement of owner</v>
      </c>
      <c r="BM241" s="24">
        <f ca="1">OFFSET(Tab.Uncertainty.Levels!$A$1,MATCH(BM$88,Tab.Uncertainty.Levels!$A:$A,0)-1,MATCH(BM$87&amp;"_"&amp;BK241,Tab.Uncertainty.Levels!$1:$1,0)-1)</f>
        <v>0.25</v>
      </c>
      <c r="BN241" s="34">
        <f ca="1">OFFSET(Tab.Uncertainty.Levels!$A$1,MATCH(BN$88,Tab.Uncertainty.Levels!$A:$A,0)-1,MATCH(BN$87&amp;"_"&amp;BK241,Tab.Uncertainty.Levels!$1:$1,0)-1)</f>
        <v>2</v>
      </c>
      <c r="BO241" s="13">
        <f ca="1">IFERROR(MIN(BM241,BN241/AN241),0)</f>
        <v>0.16666666666666666</v>
      </c>
      <c r="BP241" s="32" t="str">
        <f>IF(OR($L241="NoDataSource",IFERROR(IF($V241="",#N/A,$V241),0)=0),IF(IFERROR(IF(U241="",#N/A,U241),0)=0,"E","D"),IF($L241="DesignDataPlusQA","A",IF($L241="DesignData","B","C")))</f>
        <v>C</v>
      </c>
      <c r="BQ241" s="20" t="str">
        <f ca="1">OFFSET(Tab.Uncertainty.Levels!$A$1,MATCH(BQ$88,Tab.Uncertainty.Levels!$A:$A,0)-1,MATCH(BQ$87&amp;"_"&amp;BP241,Tab.Uncertainty.Levels!$1:$1,0)-1)</f>
        <v>Thermal conductivity of Insulation determined by inspection onsite / record or statement of owner</v>
      </c>
      <c r="BR241" s="97">
        <f ca="1">OFFSET(Tab.Uncertainty.Levels!$A$1,MATCH(BR$88,Tab.Uncertainty.Levels!$A:$A,0)-1,MATCH(BR$87&amp;"_"&amp;BP241,Tab.Uncertainty.Levels!$1:$1,0)-1)</f>
        <v>0.15</v>
      </c>
      <c r="BS241" s="32" t="str">
        <f>IF(L241="NoDataSource","D",IF(IFERROR(IF($T241="",#N/A,$T241),0)=0,IF(OR(IFERROR(IF($S241="",#N/A,$S241),0)&gt;0,$R241="Refurbish"),"D","E"),IF($L241="DesignDataPlusQA","A",IF($L241="DesignData","B","C"))))</f>
        <v>C</v>
      </c>
      <c r="BT241" s="20" t="str">
        <f ca="1">OFFSET(Tab.Uncertainty.Levels!$A$1,MATCH(BT$88,Tab.Uncertainty.Levels!$A:$A,0)-1,MATCH(BT$87&amp;"_"&amp;BS241,Tab.Uncertainty.Levels!$1:$1,0)-1)</f>
        <v>Insulation fraction determined by inspection onsite / record or statement of owner</v>
      </c>
      <c r="BU241" s="33">
        <f ca="1">OFFSET(Tab.Uncertainty.Levels!$A$1,MATCH(BU$88,Tab.Uncertainty.Levels!$A:$A,0)-1,MATCH(BU$87&amp;"_"&amp;BS241,Tab.Uncertainty.Levels!$1:$1,0)-1)</f>
        <v>0.2</v>
      </c>
      <c r="BV241" s="13">
        <f ca="1">IFERROR(MIN(BU241/AW241,1,(1-AW241)/AW241),0)</f>
        <v>0.4</v>
      </c>
      <c r="BW241" s="96">
        <f ca="1">ABS(1+(AW241*(1/(1+AN241/100/AP241*AG241)^2-1)))*BJ241*$AG241</f>
        <v>0.19020408163265307</v>
      </c>
      <c r="BX241" s="96">
        <f ca="1">ABS(-AG241+1/(1/AG241+AN241/100/AP241))*BV241*AW241</f>
        <v>0.18285714285714286</v>
      </c>
      <c r="BY241" s="96">
        <f ca="1">ABS(-AW241*AP241/((AP241/AG241+AN241/100)^2))*(BO241*AN241/100)</f>
        <v>1.8140589569160998E-2</v>
      </c>
      <c r="BZ241" s="202">
        <f ca="1">ABS(AW241*AN241/100/(1/AG241*AP241+AN241/100)^2)*(BR241*AP241)</f>
        <v>1.6326530612244896E-2</v>
      </c>
      <c r="CA241" s="103">
        <f t="shared" ca="1" si="198"/>
        <v>0.26497162858568052</v>
      </c>
      <c r="CB241" s="37">
        <f t="shared" ca="1" si="219"/>
        <v>0.25604395604395602</v>
      </c>
      <c r="CC241" s="37">
        <f t="shared" ca="1" si="220"/>
        <v>0.24615384615384614</v>
      </c>
      <c r="CD241" s="37">
        <f t="shared" ca="1" si="221"/>
        <v>2.442002442002442E-2</v>
      </c>
      <c r="CE241" s="37">
        <f t="shared" ca="1" si="222"/>
        <v>2.1978021978021976E-2</v>
      </c>
      <c r="CF241" s="13">
        <f t="shared" ca="1" si="223"/>
        <v>0.3566925769422622</v>
      </c>
      <c r="CG241" s="101">
        <f ca="1">AG241</f>
        <v>1.2</v>
      </c>
      <c r="CH241" s="101">
        <f>AW241</f>
        <v>0.5</v>
      </c>
      <c r="CI241" s="203">
        <f>IF(CH241&gt;0,AN241,0)</f>
        <v>12</v>
      </c>
      <c r="CJ241" s="102">
        <f>IF(AND(CH241&gt;0,CI241&gt;0),AP241,0)</f>
        <v>4.4999999999999998E-2</v>
      </c>
      <c r="CK241" s="102">
        <f ca="1">BB241</f>
        <v>0.74285714285714288</v>
      </c>
      <c r="CL241" s="37">
        <f t="shared" ca="1" si="199"/>
        <v>0.3</v>
      </c>
      <c r="CM241" s="37">
        <f t="shared" ca="1" si="200"/>
        <v>0.4</v>
      </c>
      <c r="CN241" s="37">
        <f t="shared" ca="1" si="201"/>
        <v>0.16666666666666666</v>
      </c>
      <c r="CO241" s="37">
        <f t="shared" ca="1" si="202"/>
        <v>0.15</v>
      </c>
      <c r="CP241" s="37">
        <f t="shared" ca="1" si="203"/>
        <v>0.3566925769422622</v>
      </c>
      <c r="CQ241" s="95">
        <f t="shared" ca="1" si="204"/>
        <v>0.36</v>
      </c>
      <c r="CR241" s="95">
        <f t="shared" ca="1" si="205"/>
        <v>0.2</v>
      </c>
      <c r="CS241" s="95">
        <f t="shared" ca="1" si="206"/>
        <v>2</v>
      </c>
      <c r="CT241" s="103">
        <f t="shared" ca="1" si="207"/>
        <v>6.7499999999999999E-3</v>
      </c>
      <c r="CU241" s="95">
        <f t="shared" ca="1" si="208"/>
        <v>0.26497162858568052</v>
      </c>
      <c r="CV241" s="37">
        <f ca="1">$CB241^2/$CF241^2</f>
        <v>0.51527718619438689</v>
      </c>
      <c r="CW241" s="37">
        <f ca="1">$CD241^2/$CF241^2</f>
        <v>4.6870981179543405E-3</v>
      </c>
      <c r="CX241" s="37">
        <f ca="1">$CE241^2/$CF241^2</f>
        <v>3.7965494755430153E-3</v>
      </c>
      <c r="CY241" s="37">
        <f ca="1">$CC241^2/$CF241^2</f>
        <v>0.47623916621211582</v>
      </c>
      <c r="DA241" s="98" t="s">
        <v>214</v>
      </c>
      <c r="DB241" s="36">
        <f ca="1">OFFSET($A$1,ROW(DB241)-1,MATCH(DA241,$1:$1,0)-1)</f>
        <v>12</v>
      </c>
      <c r="DC241" s="9">
        <f ca="1">BB241</f>
        <v>0.74285714285714288</v>
      </c>
      <c r="DD241" s="9">
        <f ca="1">$DC241+$CA241</f>
        <v>1.0078287714428233</v>
      </c>
      <c r="DE241" s="9">
        <f ca="1">$DC241-$CA241</f>
        <v>0.47788551427146236</v>
      </c>
      <c r="DF241" s="10">
        <f t="shared" ca="1" si="181"/>
        <v>0.35669257694226214</v>
      </c>
    </row>
    <row r="242" spans="1:110" s="8" customFormat="1" ht="32.4" customHeight="1">
      <c r="A242" s="206" t="s">
        <v>678</v>
      </c>
      <c r="B242" s="208" t="s">
        <v>2346</v>
      </c>
      <c r="C242" s="206" t="str">
        <f t="shared" si="186"/>
        <v>Parameter-Variation: Lambda_Insulation_Effective = 0,050 W/(m·K)</v>
      </c>
      <c r="D242" s="206"/>
      <c r="E242" s="206" t="s">
        <v>200</v>
      </c>
      <c r="F242" s="206" t="str">
        <f t="shared" si="225"/>
        <v>0,050 W/(m·K)</v>
      </c>
      <c r="G242" s="206" t="s">
        <v>2170</v>
      </c>
      <c r="H242" s="206" t="s">
        <v>2171</v>
      </c>
      <c r="I242" s="156" t="s">
        <v>80</v>
      </c>
      <c r="J242" s="156" t="s">
        <v>134</v>
      </c>
      <c r="K242" s="156" t="s">
        <v>155</v>
      </c>
      <c r="L242" s="156" t="s">
        <v>66</v>
      </c>
      <c r="M242" s="156" t="s">
        <v>188</v>
      </c>
      <c r="N242" s="7">
        <v>1960</v>
      </c>
      <c r="O242" s="156">
        <v>1</v>
      </c>
      <c r="P242" s="156">
        <v>0</v>
      </c>
      <c r="Q242" s="156" t="s">
        <v>435</v>
      </c>
      <c r="R242" s="156" t="s">
        <v>58</v>
      </c>
      <c r="S242" s="19">
        <v>12</v>
      </c>
      <c r="T242" s="19">
        <v>0.5</v>
      </c>
      <c r="U242" s="19">
        <v>2016</v>
      </c>
      <c r="V242" s="19">
        <f t="shared" si="226"/>
        <v>4.9999999999999996E-2</v>
      </c>
      <c r="W242" s="28" t="s">
        <v>59</v>
      </c>
      <c r="X242" s="19" t="e">
        <v>#N/A</v>
      </c>
      <c r="Y242" s="105">
        <f ca="1">IFERROR(OFFSET(Tab.Const.ConstrBorder!$A$1,MATCH(Q242,Tab.Const.ConstrBorder!$A:$A,0)-1,MATCH(Y$87,Tab.Const.ConstrBorder!$1:$1,0)-1),0)</f>
        <v>0</v>
      </c>
      <c r="Z242" s="18">
        <f t="shared" si="188"/>
        <v>1960</v>
      </c>
      <c r="AA242" s="17">
        <f>MATCH(Z242,Tab.Year.Period!$11:$11,1)-3</f>
        <v>5</v>
      </c>
      <c r="AB242" s="17">
        <f>MATCH(AB$88&amp;"."&amp;TEXT(AA242,"00"),Tab.U.Default!$A:$A,0)</f>
        <v>28</v>
      </c>
      <c r="AC242" s="105">
        <f ca="1">OFFSET(Tab.U.Default!$A$1,$AB242-1,MATCH("U_Class_"&amp;IF($J242="TopCeiling","UpperCeiling",$J242)&amp;"_"&amp;AC$87,Tab.U.Default!$1:$1,0)-1)</f>
        <v>1.2</v>
      </c>
      <c r="AD242" s="105">
        <f ca="1">OFFSET(Tab.U.Default!$A$1,$AB242-1,MATCH("U_Class_"&amp;IF($J242="TopCeiling","UpperCeiling",$J242)&amp;"_"&amp;AD$87,Tab.U.Default!$1:$1,0)-1)</f>
        <v>1.2</v>
      </c>
      <c r="AE242" s="105">
        <f ca="1">OFFSET(Tab.U.Default!$A$1,$AB242-1,MATCH("U_Class_"&amp;IF($J242="TopCeiling","UpperCeiling",$J242)&amp;"_"&amp;AE$87,Tab.U.Default!$1:$1,0)-1)</f>
        <v>0.8</v>
      </c>
      <c r="AF242" s="26">
        <f t="shared" ca="1" si="189"/>
        <v>1.2</v>
      </c>
      <c r="AG242" s="26">
        <f t="shared" ca="1" si="190"/>
        <v>1.2</v>
      </c>
      <c r="AH242" s="18" t="str">
        <f t="shared" si="211"/>
        <v>Refurbish</v>
      </c>
      <c r="AI242" s="18" t="str">
        <f t="shared" si="191"/>
        <v>Add</v>
      </c>
      <c r="AJ242" s="18">
        <f t="shared" si="192"/>
        <v>2016</v>
      </c>
      <c r="AK242" s="17">
        <f>MATCH(AJ242,Tab.Year.Period!$11:$11,1)-3</f>
        <v>12</v>
      </c>
      <c r="AL242" s="17">
        <f>MATCH(AL$88&amp;"."&amp;TEXT(AK242,"00"),Tab.Insulation.Default!$A:$A,0)</f>
        <v>23</v>
      </c>
      <c r="AM242" s="20" t="e">
        <f ca="1">IF(ISNA(IF(S242="",#N/A,S242)),OFFSET(Tab.Insulation.Default!$A$1,$AL242-1,MATCH(AM$87&amp;"_"&amp;$K242,Tab.Insulation.Default!$1:$1,0)-1),#N/A)</f>
        <v>#N/A</v>
      </c>
      <c r="AN242" s="27">
        <f t="shared" si="193"/>
        <v>12</v>
      </c>
      <c r="AO242" s="22" t="e">
        <f ca="1">IF(ISNA(IF(V242="",#N/A,V242)),OFFSET(Tab.Insulation.Default!$A$1,$AL242-1,MATCH(AO$87&amp;"_"&amp;$K242,Tab.Insulation.Default!$1:$1,0)-1),#N/A)</f>
        <v>#N/A</v>
      </c>
      <c r="AP242" s="23">
        <f t="shared" si="194"/>
        <v>4.9999999999999996E-2</v>
      </c>
      <c r="AQ242" s="29" t="str">
        <f t="shared" si="212"/>
        <v>Gen.Refurbished.12</v>
      </c>
      <c r="AR242" s="17">
        <f>MATCH(AR$88&amp;"."&amp;AQ242,Tab.Measure.f.Default!$A:$A,0)</f>
        <v>23</v>
      </c>
      <c r="AS242" s="21">
        <f ca="1">OFFSET(Tab.Measure.f.Default!$A$1,AR242-1,MATCH(AS$87&amp;"_"&amp;$J242,Tab.Measure.f.Default!$1:$1,0)-1)</f>
        <v>0.75</v>
      </c>
      <c r="AT242" s="29" t="str">
        <f t="shared" si="213"/>
        <v>MUH.NA.05</v>
      </c>
      <c r="AU242" s="17">
        <f>MATCH(AU$88&amp;"."&amp;AT242,Tab.Measure.f.Default!$A:$A,0)</f>
        <v>40</v>
      </c>
      <c r="AV242" s="21">
        <f ca="1">OFFSET(Tab.Measure.f.Default!$A$1,AU242-1,MATCH(AV$87&amp;"_"&amp;$J242,Tab.Measure.f.Default!$1:$1,0)-1)</f>
        <v>0.37</v>
      </c>
      <c r="AW242" s="30">
        <f t="shared" si="195"/>
        <v>0.5</v>
      </c>
      <c r="AX242" s="9">
        <f t="shared" ca="1" si="214"/>
        <v>0.83333333333333337</v>
      </c>
      <c r="AY242" s="9">
        <f t="shared" si="215"/>
        <v>2.4</v>
      </c>
      <c r="AZ242" s="9">
        <f t="shared" ca="1" si="196"/>
        <v>3.2333333333333334</v>
      </c>
      <c r="BA242" s="9">
        <f t="shared" ca="1" si="197"/>
        <v>0.30927835051546393</v>
      </c>
      <c r="BB242" s="9">
        <f t="shared" ca="1" si="216"/>
        <v>0.75463917525773194</v>
      </c>
      <c r="BC242" s="32" t="str">
        <f t="shared" si="217"/>
        <v>D</v>
      </c>
      <c r="BD242" s="20" t="str">
        <f ca="1">OFFSET(Tab.Uncertainty.Levels!$A$1,MATCH(BD$88,Tab.Uncertainty.Levels!$A:$A,0)-1,MATCH(BD$87&amp;"_"&amp;BC242,Tab.Uncertainty.Levels!$1:$1,0)-1)</f>
        <v>Use of default values; building constructed until 1983</v>
      </c>
      <c r="BE242" s="24">
        <f ca="1">OFFSET(Tab.Uncertainty.Levels!$A$1,MATCH(BE$88,Tab.Uncertainty.Levels!$A:$A,0)-1,MATCH(BE$87&amp;"_"&amp;BC242,Tab.Uncertainty.Levels!$1:$1,0)-1)</f>
        <v>0.3</v>
      </c>
      <c r="BF242" s="32" t="str">
        <f t="shared" si="218"/>
        <v>-</v>
      </c>
      <c r="BG242" s="20" t="e">
        <f ca="1">OFFSET(Tab.Uncertainty.Levels!$A$1,MATCH(BG$88,Tab.Uncertainty.Levels!$A:$A,0)-1,MATCH(BG$87&amp;"_"&amp;BF242,Tab.Uncertainty.Levels!$1:$1,0)-1)</f>
        <v>#N/A</v>
      </c>
      <c r="BH242" s="24" t="e">
        <f ca="1">OFFSET(Tab.Uncertainty.Levels!$A$1,MATCH(BH$88,Tab.Uncertainty.Levels!$A:$A,0)-1,MATCH(BH$87&amp;"_"&amp;BF242,Tab.Uncertainty.Levels!$1:$1,0)-1)</f>
        <v>#N/A</v>
      </c>
      <c r="BI242" s="32" t="str">
        <f t="shared" si="224"/>
        <v>D</v>
      </c>
      <c r="BJ242" s="13">
        <f ca="1">IF(BF242="-",BE242,BH242)</f>
        <v>0.3</v>
      </c>
      <c r="BK242" s="32" t="str">
        <f>IF(OR($L242="NoDataSource",IFERROR(IF($S242="",#N/A,$S242),0)=0),IF(IFERROR(IF(U242="",#N/A,U242),0)=0,"E","D"),IF($L242="DesignDataPlusQA","A",IF($L242="DesignData","B","C")))</f>
        <v>C</v>
      </c>
      <c r="BL242" s="20" t="str">
        <f ca="1">OFFSET(Tab.Uncertainty.Levels!$A$1,MATCH(BL$88,Tab.Uncertainty.Levels!$A:$A,0)-1,MATCH(BL$87&amp;"_"&amp;BK242,Tab.Uncertainty.Levels!$1:$1,0)-1)</f>
        <v>Insulation thickness determined by inspection onsite / record or statement of owner</v>
      </c>
      <c r="BM242" s="24">
        <f ca="1">OFFSET(Tab.Uncertainty.Levels!$A$1,MATCH(BM$88,Tab.Uncertainty.Levels!$A:$A,0)-1,MATCH(BM$87&amp;"_"&amp;BK242,Tab.Uncertainty.Levels!$1:$1,0)-1)</f>
        <v>0.25</v>
      </c>
      <c r="BN242" s="34">
        <f ca="1">OFFSET(Tab.Uncertainty.Levels!$A$1,MATCH(BN$88,Tab.Uncertainty.Levels!$A:$A,0)-1,MATCH(BN$87&amp;"_"&amp;BK242,Tab.Uncertainty.Levels!$1:$1,0)-1)</f>
        <v>2</v>
      </c>
      <c r="BO242" s="13">
        <f ca="1">IFERROR(MIN(BM242,BN242/AN242),0)</f>
        <v>0.16666666666666666</v>
      </c>
      <c r="BP242" s="32" t="str">
        <f>IF(OR($L242="NoDataSource",IFERROR(IF($V242="",#N/A,$V242),0)=0),IF(IFERROR(IF(U242="",#N/A,U242),0)=0,"E","D"),IF($L242="DesignDataPlusQA","A",IF($L242="DesignData","B","C")))</f>
        <v>C</v>
      </c>
      <c r="BQ242" s="20" t="str">
        <f ca="1">OFFSET(Tab.Uncertainty.Levels!$A$1,MATCH(BQ$88,Tab.Uncertainty.Levels!$A:$A,0)-1,MATCH(BQ$87&amp;"_"&amp;BP242,Tab.Uncertainty.Levels!$1:$1,0)-1)</f>
        <v>Thermal conductivity of Insulation determined by inspection onsite / record or statement of owner</v>
      </c>
      <c r="BR242" s="97">
        <f ca="1">OFFSET(Tab.Uncertainty.Levels!$A$1,MATCH(BR$88,Tab.Uncertainty.Levels!$A:$A,0)-1,MATCH(BR$87&amp;"_"&amp;BP242,Tab.Uncertainty.Levels!$1:$1,0)-1)</f>
        <v>0.15</v>
      </c>
      <c r="BS242" s="32" t="str">
        <f>IF(L242="NoDataSource","D",IF(IFERROR(IF($T242="",#N/A,$T242),0)=0,IF(OR(IFERROR(IF($S242="",#N/A,$S242),0)&gt;0,$R242="Refurbish"),"D","E"),IF($L242="DesignDataPlusQA","A",IF($L242="DesignData","B","C"))))</f>
        <v>C</v>
      </c>
      <c r="BT242" s="20" t="str">
        <f ca="1">OFFSET(Tab.Uncertainty.Levels!$A$1,MATCH(BT$88,Tab.Uncertainty.Levels!$A:$A,0)-1,MATCH(BT$87&amp;"_"&amp;BS242,Tab.Uncertainty.Levels!$1:$1,0)-1)</f>
        <v>Insulation fraction determined by inspection onsite / record or statement of owner</v>
      </c>
      <c r="BU242" s="33">
        <f ca="1">OFFSET(Tab.Uncertainty.Levels!$A$1,MATCH(BU$88,Tab.Uncertainty.Levels!$A:$A,0)-1,MATCH(BU$87&amp;"_"&amp;BS242,Tab.Uncertainty.Levels!$1:$1,0)-1)</f>
        <v>0.2</v>
      </c>
      <c r="BV242" s="13">
        <f ca="1">IFERROR(MIN(BU242/AW242,1,(1-AW242)/AW242),0)</f>
        <v>0.4</v>
      </c>
      <c r="BW242" s="96">
        <f ca="1">ABS(1+(AW242*(1/(1+AN242/100/AP242*AG242)^2-1)))*BJ242*$AG242</f>
        <v>0.19195663726219575</v>
      </c>
      <c r="BX242" s="96">
        <f ca="1">ABS(-AG242+1/(1/AG242+AN242/100/AP242))*BV242*AW242</f>
        <v>0.17814432989690721</v>
      </c>
      <c r="BY242" s="96">
        <f ca="1">ABS(-AW242*AP242/((AP242/AG242+AN242/100)^2))*(BO242*AN242/100)</f>
        <v>1.9130619619513234E-2</v>
      </c>
      <c r="BZ242" s="202">
        <f ca="1">ABS(AW242*AN242/100/(1/AG242*AP242+AN242/100)^2)*(BR242*AP242)</f>
        <v>1.7217557657561909E-2</v>
      </c>
      <c r="CA242" s="103">
        <f t="shared" ca="1" si="198"/>
        <v>0.26314478478994463</v>
      </c>
      <c r="CB242" s="37">
        <f t="shared" ca="1" si="219"/>
        <v>0.2543687679567348</v>
      </c>
      <c r="CC242" s="37">
        <f t="shared" ca="1" si="220"/>
        <v>0.23606557377049178</v>
      </c>
      <c r="CD242" s="37">
        <f t="shared" ca="1" si="221"/>
        <v>2.5350684468480652E-2</v>
      </c>
      <c r="CE242" s="37">
        <f t="shared" ca="1" si="222"/>
        <v>2.2815616021632585E-2</v>
      </c>
      <c r="CF242" s="13">
        <f t="shared" ca="1" si="223"/>
        <v>0.34870278858776815</v>
      </c>
      <c r="CG242" s="101">
        <f ca="1">AG242</f>
        <v>1.2</v>
      </c>
      <c r="CH242" s="101">
        <f>AW242</f>
        <v>0.5</v>
      </c>
      <c r="CI242" s="203">
        <f>IF(CH242&gt;0,AN242,0)</f>
        <v>12</v>
      </c>
      <c r="CJ242" s="102">
        <f>IF(AND(CH242&gt;0,CI242&gt;0),AP242,0)</f>
        <v>4.9999999999999996E-2</v>
      </c>
      <c r="CK242" s="102">
        <f ca="1">BB242</f>
        <v>0.75463917525773194</v>
      </c>
      <c r="CL242" s="37">
        <f t="shared" ca="1" si="199"/>
        <v>0.3</v>
      </c>
      <c r="CM242" s="37">
        <f t="shared" ca="1" si="200"/>
        <v>0.4</v>
      </c>
      <c r="CN242" s="37">
        <f t="shared" ca="1" si="201"/>
        <v>0.16666666666666666</v>
      </c>
      <c r="CO242" s="37">
        <f t="shared" ca="1" si="202"/>
        <v>0.15</v>
      </c>
      <c r="CP242" s="37">
        <f t="shared" ca="1" si="203"/>
        <v>0.34870278858776815</v>
      </c>
      <c r="CQ242" s="95">
        <f t="shared" ca="1" si="204"/>
        <v>0.36</v>
      </c>
      <c r="CR242" s="95">
        <f t="shared" ca="1" si="205"/>
        <v>0.2</v>
      </c>
      <c r="CS242" s="95">
        <f t="shared" ca="1" si="206"/>
        <v>2</v>
      </c>
      <c r="CT242" s="103">
        <f t="shared" ca="1" si="207"/>
        <v>7.4999999999999989E-3</v>
      </c>
      <c r="CU242" s="95">
        <f t="shared" ca="1" si="208"/>
        <v>0.26314478478994463</v>
      </c>
      <c r="CV242" s="37">
        <f ca="1">$CB242^2/$CF242^2</f>
        <v>0.53212876015105348</v>
      </c>
      <c r="CW242" s="37">
        <f ca="1">$CD242^2/$CF242^2</f>
        <v>5.2852865550237996E-3</v>
      </c>
      <c r="CX242" s="37">
        <f ca="1">$CE242^2/$CF242^2</f>
        <v>4.2810821095692767E-3</v>
      </c>
      <c r="CY242" s="37">
        <f ca="1">$CC242^2/$CF242^2</f>
        <v>0.45830487118435348</v>
      </c>
      <c r="DA242" s="98" t="s">
        <v>214</v>
      </c>
      <c r="DB242" s="36">
        <f ca="1">OFFSET($A$1,ROW(DB242)-1,MATCH(DA242,$1:$1,0)-1)</f>
        <v>12</v>
      </c>
      <c r="DC242" s="9">
        <f ca="1">BB242</f>
        <v>0.75463917525773194</v>
      </c>
      <c r="DD242" s="9">
        <f ca="1">$DC242+$CA242</f>
        <v>1.0177839600476766</v>
      </c>
      <c r="DE242" s="9">
        <f ca="1">$DC242-$CA242</f>
        <v>0.49149439046778731</v>
      </c>
      <c r="DF242" s="10">
        <f t="shared" ca="1" si="181"/>
        <v>0.34870278858776815</v>
      </c>
    </row>
    <row r="243" spans="1:110" s="8" customFormat="1" ht="32.4" customHeight="1">
      <c r="A243" s="206" t="s">
        <v>679</v>
      </c>
      <c r="B243" s="208" t="s">
        <v>2346</v>
      </c>
      <c r="C243" s="206" t="str">
        <f t="shared" si="186"/>
        <v>Parameter-Variation: Lambda_Insulation_Effective = 0,060 W/(m·K)</v>
      </c>
      <c r="D243" s="206"/>
      <c r="E243" s="206" t="s">
        <v>200</v>
      </c>
      <c r="F243" s="206" t="str">
        <f t="shared" si="225"/>
        <v>0,060 W/(m·K)</v>
      </c>
      <c r="G243" s="206" t="s">
        <v>2170</v>
      </c>
      <c r="H243" s="206" t="s">
        <v>2171</v>
      </c>
      <c r="I243" s="156" t="s">
        <v>80</v>
      </c>
      <c r="J243" s="156" t="s">
        <v>134</v>
      </c>
      <c r="K243" s="156" t="s">
        <v>155</v>
      </c>
      <c r="L243" s="156" t="s">
        <v>66</v>
      </c>
      <c r="M243" s="156" t="s">
        <v>188</v>
      </c>
      <c r="N243" s="7">
        <v>1960</v>
      </c>
      <c r="O243" s="156">
        <v>1</v>
      </c>
      <c r="P243" s="156">
        <v>0</v>
      </c>
      <c r="Q243" s="156" t="s">
        <v>435</v>
      </c>
      <c r="R243" s="156" t="s">
        <v>58</v>
      </c>
      <c r="S243" s="19">
        <v>12</v>
      </c>
      <c r="T243" s="19">
        <v>0.5</v>
      </c>
      <c r="U243" s="19">
        <v>2016</v>
      </c>
      <c r="V243" s="19">
        <f t="shared" ref="V243:V245" si="227">V242+0.01</f>
        <v>0.06</v>
      </c>
      <c r="W243" s="28" t="s">
        <v>59</v>
      </c>
      <c r="X243" s="19" t="e">
        <v>#N/A</v>
      </c>
      <c r="Y243" s="105">
        <f ca="1">IFERROR(OFFSET(Tab.Const.ConstrBorder!$A$1,MATCH(Q243,Tab.Const.ConstrBorder!$A:$A,0)-1,MATCH(Y$87,Tab.Const.ConstrBorder!$1:$1,0)-1),0)</f>
        <v>0</v>
      </c>
      <c r="Z243" s="18">
        <f t="shared" si="188"/>
        <v>1960</v>
      </c>
      <c r="AA243" s="17">
        <f>MATCH(Z243,Tab.Year.Period!$11:$11,1)-3</f>
        <v>5</v>
      </c>
      <c r="AB243" s="17">
        <f>MATCH(AB$88&amp;"."&amp;TEXT(AA243,"00"),Tab.U.Default!$A:$A,0)</f>
        <v>28</v>
      </c>
      <c r="AC243" s="105">
        <f ca="1">OFFSET(Tab.U.Default!$A$1,$AB243-1,MATCH("U_Class_"&amp;IF($J243="TopCeiling","UpperCeiling",$J243)&amp;"_"&amp;AC$87,Tab.U.Default!$1:$1,0)-1)</f>
        <v>1.2</v>
      </c>
      <c r="AD243" s="105">
        <f ca="1">OFFSET(Tab.U.Default!$A$1,$AB243-1,MATCH("U_Class_"&amp;IF($J243="TopCeiling","UpperCeiling",$J243)&amp;"_"&amp;AD$87,Tab.U.Default!$1:$1,0)-1)</f>
        <v>1.2</v>
      </c>
      <c r="AE243" s="105">
        <f ca="1">OFFSET(Tab.U.Default!$A$1,$AB243-1,MATCH("U_Class_"&amp;IF($J243="TopCeiling","UpperCeiling",$J243)&amp;"_"&amp;AE$87,Tab.U.Default!$1:$1,0)-1)</f>
        <v>0.8</v>
      </c>
      <c r="AF243" s="26">
        <f t="shared" ca="1" si="189"/>
        <v>1.2</v>
      </c>
      <c r="AG243" s="26">
        <f t="shared" ca="1" si="190"/>
        <v>1.2</v>
      </c>
      <c r="AH243" s="18" t="str">
        <f t="shared" si="211"/>
        <v>Refurbish</v>
      </c>
      <c r="AI243" s="18" t="str">
        <f t="shared" si="191"/>
        <v>Add</v>
      </c>
      <c r="AJ243" s="18">
        <f t="shared" si="192"/>
        <v>2016</v>
      </c>
      <c r="AK243" s="17">
        <f>MATCH(AJ243,Tab.Year.Period!$11:$11,1)-3</f>
        <v>12</v>
      </c>
      <c r="AL243" s="17">
        <f>MATCH(AL$88&amp;"."&amp;TEXT(AK243,"00"),Tab.Insulation.Default!$A:$A,0)</f>
        <v>23</v>
      </c>
      <c r="AM243" s="20" t="e">
        <f ca="1">IF(ISNA(IF(S243="",#N/A,S243)),OFFSET(Tab.Insulation.Default!$A$1,$AL243-1,MATCH(AM$87&amp;"_"&amp;$K243,Tab.Insulation.Default!$1:$1,0)-1),#N/A)</f>
        <v>#N/A</v>
      </c>
      <c r="AN243" s="27">
        <f t="shared" si="193"/>
        <v>12</v>
      </c>
      <c r="AO243" s="22" t="e">
        <f ca="1">IF(ISNA(IF(V243="",#N/A,V243)),OFFSET(Tab.Insulation.Default!$A$1,$AL243-1,MATCH(AO$87&amp;"_"&amp;$K243,Tab.Insulation.Default!$1:$1,0)-1),#N/A)</f>
        <v>#N/A</v>
      </c>
      <c r="AP243" s="23">
        <f t="shared" si="194"/>
        <v>0.06</v>
      </c>
      <c r="AQ243" s="29" t="str">
        <f t="shared" si="212"/>
        <v>Gen.Refurbished.12</v>
      </c>
      <c r="AR243" s="17">
        <f>MATCH(AR$88&amp;"."&amp;AQ243,Tab.Measure.f.Default!$A:$A,0)</f>
        <v>23</v>
      </c>
      <c r="AS243" s="21">
        <f ca="1">OFFSET(Tab.Measure.f.Default!$A$1,AR243-1,MATCH(AS$87&amp;"_"&amp;$J243,Tab.Measure.f.Default!$1:$1,0)-1)</f>
        <v>0.75</v>
      </c>
      <c r="AT243" s="29" t="str">
        <f t="shared" si="213"/>
        <v>MUH.NA.05</v>
      </c>
      <c r="AU243" s="17">
        <f>MATCH(AU$88&amp;"."&amp;AT243,Tab.Measure.f.Default!$A:$A,0)</f>
        <v>40</v>
      </c>
      <c r="AV243" s="21">
        <f ca="1">OFFSET(Tab.Measure.f.Default!$A$1,AU243-1,MATCH(AV$87&amp;"_"&amp;$J243,Tab.Measure.f.Default!$1:$1,0)-1)</f>
        <v>0.37</v>
      </c>
      <c r="AW243" s="30">
        <f t="shared" si="195"/>
        <v>0.5</v>
      </c>
      <c r="AX243" s="9">
        <f t="shared" ca="1" si="214"/>
        <v>0.83333333333333337</v>
      </c>
      <c r="AY243" s="9">
        <f t="shared" si="215"/>
        <v>2</v>
      </c>
      <c r="AZ243" s="9">
        <f t="shared" ca="1" si="196"/>
        <v>2.8333333333333335</v>
      </c>
      <c r="BA243" s="9">
        <f t="shared" ca="1" si="197"/>
        <v>0.3529411764705882</v>
      </c>
      <c r="BB243" s="9">
        <f t="shared" ca="1" si="216"/>
        <v>0.77647058823529402</v>
      </c>
      <c r="BC243" s="32" t="str">
        <f t="shared" si="217"/>
        <v>D</v>
      </c>
      <c r="BD243" s="20" t="str">
        <f ca="1">OFFSET(Tab.Uncertainty.Levels!$A$1,MATCH(BD$88,Tab.Uncertainty.Levels!$A:$A,0)-1,MATCH(BD$87&amp;"_"&amp;BC243,Tab.Uncertainty.Levels!$1:$1,0)-1)</f>
        <v>Use of default values; building constructed until 1983</v>
      </c>
      <c r="BE243" s="24">
        <f ca="1">OFFSET(Tab.Uncertainty.Levels!$A$1,MATCH(BE$88,Tab.Uncertainty.Levels!$A:$A,0)-1,MATCH(BE$87&amp;"_"&amp;BC243,Tab.Uncertainty.Levels!$1:$1,0)-1)</f>
        <v>0.3</v>
      </c>
      <c r="BF243" s="32" t="str">
        <f t="shared" si="218"/>
        <v>-</v>
      </c>
      <c r="BG243" s="20" t="e">
        <f ca="1">OFFSET(Tab.Uncertainty.Levels!$A$1,MATCH(BG$88,Tab.Uncertainty.Levels!$A:$A,0)-1,MATCH(BG$87&amp;"_"&amp;BF243,Tab.Uncertainty.Levels!$1:$1,0)-1)</f>
        <v>#N/A</v>
      </c>
      <c r="BH243" s="24" t="e">
        <f ca="1">OFFSET(Tab.Uncertainty.Levels!$A$1,MATCH(BH$88,Tab.Uncertainty.Levels!$A:$A,0)-1,MATCH(BH$87&amp;"_"&amp;BF243,Tab.Uncertainty.Levels!$1:$1,0)-1)</f>
        <v>#N/A</v>
      </c>
      <c r="BI243" s="32" t="str">
        <f t="shared" si="224"/>
        <v>D</v>
      </c>
      <c r="BJ243" s="13">
        <f ca="1">IF(BF243="-",BE243,BH243)</f>
        <v>0.3</v>
      </c>
      <c r="BK243" s="32" t="str">
        <f>IF(OR($L243="NoDataSource",IFERROR(IF($S243="",#N/A,$S243),0)=0),IF(IFERROR(IF(U243="",#N/A,U243),0)=0,"E","D"),IF($L243="DesignDataPlusQA","A",IF($L243="DesignData","B","C")))</f>
        <v>C</v>
      </c>
      <c r="BL243" s="20" t="str">
        <f ca="1">OFFSET(Tab.Uncertainty.Levels!$A$1,MATCH(BL$88,Tab.Uncertainty.Levels!$A:$A,0)-1,MATCH(BL$87&amp;"_"&amp;BK243,Tab.Uncertainty.Levels!$1:$1,0)-1)</f>
        <v>Insulation thickness determined by inspection onsite / record or statement of owner</v>
      </c>
      <c r="BM243" s="24">
        <f ca="1">OFFSET(Tab.Uncertainty.Levels!$A$1,MATCH(BM$88,Tab.Uncertainty.Levels!$A:$A,0)-1,MATCH(BM$87&amp;"_"&amp;BK243,Tab.Uncertainty.Levels!$1:$1,0)-1)</f>
        <v>0.25</v>
      </c>
      <c r="BN243" s="34">
        <f ca="1">OFFSET(Tab.Uncertainty.Levels!$A$1,MATCH(BN$88,Tab.Uncertainty.Levels!$A:$A,0)-1,MATCH(BN$87&amp;"_"&amp;BK243,Tab.Uncertainty.Levels!$1:$1,0)-1)</f>
        <v>2</v>
      </c>
      <c r="BO243" s="13">
        <f ca="1">IFERROR(MIN(BM243,BN243/AN243),0)</f>
        <v>0.16666666666666666</v>
      </c>
      <c r="BP243" s="32" t="str">
        <f>IF(OR($L243="NoDataSource",IFERROR(IF($V243="",#N/A,$V243),0)=0),IF(IFERROR(IF(U243="",#N/A,U243),0)=0,"E","D"),IF($L243="DesignDataPlusQA","A",IF($L243="DesignData","B","C")))</f>
        <v>C</v>
      </c>
      <c r="BQ243" s="20" t="str">
        <f ca="1">OFFSET(Tab.Uncertainty.Levels!$A$1,MATCH(BQ$88,Tab.Uncertainty.Levels!$A:$A,0)-1,MATCH(BQ$87&amp;"_"&amp;BP243,Tab.Uncertainty.Levels!$1:$1,0)-1)</f>
        <v>Thermal conductivity of Insulation determined by inspection onsite / record or statement of owner</v>
      </c>
      <c r="BR243" s="97">
        <f ca="1">OFFSET(Tab.Uncertainty.Levels!$A$1,MATCH(BR$88,Tab.Uncertainty.Levels!$A:$A,0)-1,MATCH(BR$87&amp;"_"&amp;BP243,Tab.Uncertainty.Levels!$1:$1,0)-1)</f>
        <v>0.15</v>
      </c>
      <c r="BS243" s="32" t="str">
        <f>IF(L243="NoDataSource","D",IF(IFERROR(IF($T243="",#N/A,$T243),0)=0,IF(OR(IFERROR(IF($S243="",#N/A,$S243),0)&gt;0,$R243="Refurbish"),"D","E"),IF($L243="DesignDataPlusQA","A",IF($L243="DesignData","B","C"))))</f>
        <v>C</v>
      </c>
      <c r="BT243" s="20" t="str">
        <f ca="1">OFFSET(Tab.Uncertainty.Levels!$A$1,MATCH(BT$88,Tab.Uncertainty.Levels!$A:$A,0)-1,MATCH(BT$87&amp;"_"&amp;BS243,Tab.Uncertainty.Levels!$1:$1,0)-1)</f>
        <v>Insulation fraction determined by inspection onsite / record or statement of owner</v>
      </c>
      <c r="BU243" s="33">
        <f ca="1">OFFSET(Tab.Uncertainty.Levels!$A$1,MATCH(BU$88,Tab.Uncertainty.Levels!$A:$A,0)-1,MATCH(BU$87&amp;"_"&amp;BS243,Tab.Uncertainty.Levels!$1:$1,0)-1)</f>
        <v>0.2</v>
      </c>
      <c r="BV243" s="13">
        <f ca="1">IFERROR(MIN(BU243/AW243,1,(1-AW243)/AW243),0)</f>
        <v>0.4</v>
      </c>
      <c r="BW243" s="96">
        <f ca="1">ABS(1+(AW243*(1/(1+AN243/100/AP243*AG243)^2-1)))*BJ243*$AG243</f>
        <v>0.19557093425605535</v>
      </c>
      <c r="BX243" s="96">
        <f ca="1">ABS(-AG243+1/(1/AG243+AN243/100/AP243))*BV243*AW243</f>
        <v>0.16941176470588237</v>
      </c>
      <c r="BY243" s="96">
        <f ca="1">ABS(-AW243*AP243/((AP243/AG243+AN243/100)^2))*(BO243*AN243/100)</f>
        <v>2.0761245674740487E-2</v>
      </c>
      <c r="BZ243" s="202">
        <f ca="1">ABS(AW243*AN243/100/(1/AG243*AP243+AN243/100)^2)*(BR243*AP243)</f>
        <v>1.8685121107266438E-2</v>
      </c>
      <c r="CA243" s="103">
        <f t="shared" ca="1" si="198"/>
        <v>0.26024699694580089</v>
      </c>
      <c r="CB243" s="37">
        <f t="shared" ca="1" si="219"/>
        <v>0.25187165775401071</v>
      </c>
      <c r="CC243" s="37">
        <f t="shared" ca="1" si="220"/>
        <v>0.21818181818181823</v>
      </c>
      <c r="CD243" s="37">
        <f t="shared" ca="1" si="221"/>
        <v>2.6737967914438509E-2</v>
      </c>
      <c r="CE243" s="37">
        <f t="shared" ca="1" si="222"/>
        <v>2.4064171122994658E-2</v>
      </c>
      <c r="CF243" s="13">
        <f t="shared" ca="1" si="223"/>
        <v>0.33516658697565277</v>
      </c>
      <c r="CG243" s="101">
        <f ca="1">AG243</f>
        <v>1.2</v>
      </c>
      <c r="CH243" s="101">
        <f>AW243</f>
        <v>0.5</v>
      </c>
      <c r="CI243" s="203">
        <f>IF(CH243&gt;0,AN243,0)</f>
        <v>12</v>
      </c>
      <c r="CJ243" s="102">
        <f>IF(AND(CH243&gt;0,CI243&gt;0),AP243,0)</f>
        <v>0.06</v>
      </c>
      <c r="CK243" s="102">
        <f ca="1">BB243</f>
        <v>0.77647058823529402</v>
      </c>
      <c r="CL243" s="37">
        <f t="shared" ca="1" si="199"/>
        <v>0.3</v>
      </c>
      <c r="CM243" s="37">
        <f t="shared" ca="1" si="200"/>
        <v>0.4</v>
      </c>
      <c r="CN243" s="37">
        <f t="shared" ca="1" si="201"/>
        <v>0.16666666666666666</v>
      </c>
      <c r="CO243" s="37">
        <f t="shared" ca="1" si="202"/>
        <v>0.15</v>
      </c>
      <c r="CP243" s="37">
        <f t="shared" ca="1" si="203"/>
        <v>0.33516658697565277</v>
      </c>
      <c r="CQ243" s="95">
        <f t="shared" ca="1" si="204"/>
        <v>0.36</v>
      </c>
      <c r="CR243" s="95">
        <f t="shared" ca="1" si="205"/>
        <v>0.2</v>
      </c>
      <c r="CS243" s="95">
        <f t="shared" ca="1" si="206"/>
        <v>2</v>
      </c>
      <c r="CT243" s="103">
        <f t="shared" ca="1" si="207"/>
        <v>8.9999999999999993E-3</v>
      </c>
      <c r="CU243" s="95">
        <f t="shared" ca="1" si="208"/>
        <v>0.26024699694580095</v>
      </c>
      <c r="CV243" s="37">
        <f ca="1">$CB243^2/$CF243^2</f>
        <v>0.56472519919558062</v>
      </c>
      <c r="CW243" s="37">
        <f ca="1">$CD243^2/$CF243^2</f>
        <v>6.3640760634371112E-3</v>
      </c>
      <c r="CX243" s="37">
        <f ca="1">$CE243^2/$CF243^2</f>
        <v>5.1549016113840596E-3</v>
      </c>
      <c r="CY243" s="37">
        <f ca="1">$CC243^2/$CF243^2</f>
        <v>0.42375582312959809</v>
      </c>
      <c r="DA243" s="98" t="s">
        <v>214</v>
      </c>
      <c r="DB243" s="36">
        <f ca="1">OFFSET($A$1,ROW(DB243)-1,MATCH(DA243,$1:$1,0)-1)</f>
        <v>12</v>
      </c>
      <c r="DC243" s="9">
        <f ca="1">BB243</f>
        <v>0.77647058823529402</v>
      </c>
      <c r="DD243" s="9">
        <f ca="1">$DC243+$CA243</f>
        <v>1.036717585181095</v>
      </c>
      <c r="DE243" s="9">
        <f ca="1">$DC243-$CA243</f>
        <v>0.51622359128949313</v>
      </c>
      <c r="DF243" s="10">
        <f t="shared" ca="1" si="181"/>
        <v>0.33516658697565277</v>
      </c>
    </row>
    <row r="244" spans="1:110" s="8" customFormat="1" ht="32.4" customHeight="1">
      <c r="A244" s="206" t="s">
        <v>680</v>
      </c>
      <c r="B244" s="208" t="s">
        <v>2346</v>
      </c>
      <c r="C244" s="206" t="str">
        <f t="shared" si="186"/>
        <v>Parameter-Variation: Lambda_Insulation_Effective = 0,070 W/(m·K)</v>
      </c>
      <c r="D244" s="206"/>
      <c r="E244" s="206" t="s">
        <v>200</v>
      </c>
      <c r="F244" s="206" t="str">
        <f t="shared" si="225"/>
        <v>0,070 W/(m·K)</v>
      </c>
      <c r="G244" s="206" t="s">
        <v>2170</v>
      </c>
      <c r="H244" s="206" t="s">
        <v>2171</v>
      </c>
      <c r="I244" s="156" t="s">
        <v>80</v>
      </c>
      <c r="J244" s="156" t="s">
        <v>134</v>
      </c>
      <c r="K244" s="156" t="s">
        <v>155</v>
      </c>
      <c r="L244" s="156" t="s">
        <v>66</v>
      </c>
      <c r="M244" s="156" t="s">
        <v>188</v>
      </c>
      <c r="N244" s="7">
        <v>1960</v>
      </c>
      <c r="O244" s="156">
        <v>1</v>
      </c>
      <c r="P244" s="156">
        <v>0</v>
      </c>
      <c r="Q244" s="156" t="s">
        <v>435</v>
      </c>
      <c r="R244" s="156" t="s">
        <v>58</v>
      </c>
      <c r="S244" s="19">
        <v>12</v>
      </c>
      <c r="T244" s="19">
        <v>0.5</v>
      </c>
      <c r="U244" s="19">
        <v>2016</v>
      </c>
      <c r="V244" s="19">
        <f t="shared" si="227"/>
        <v>6.9999999999999993E-2</v>
      </c>
      <c r="W244" s="28" t="s">
        <v>59</v>
      </c>
      <c r="X244" s="19" t="e">
        <v>#N/A</v>
      </c>
      <c r="Y244" s="105">
        <f ca="1">IFERROR(OFFSET(Tab.Const.ConstrBorder!$A$1,MATCH(Q244,Tab.Const.ConstrBorder!$A:$A,0)-1,MATCH(Y$87,Tab.Const.ConstrBorder!$1:$1,0)-1),0)</f>
        <v>0</v>
      </c>
      <c r="Z244" s="18">
        <f t="shared" si="188"/>
        <v>1960</v>
      </c>
      <c r="AA244" s="17">
        <f>MATCH(Z244,Tab.Year.Period!$11:$11,1)-3</f>
        <v>5</v>
      </c>
      <c r="AB244" s="17">
        <f>MATCH(AB$88&amp;"."&amp;TEXT(AA244,"00"),Tab.U.Default!$A:$A,0)</f>
        <v>28</v>
      </c>
      <c r="AC244" s="105">
        <f ca="1">OFFSET(Tab.U.Default!$A$1,$AB244-1,MATCH("U_Class_"&amp;IF($J244="TopCeiling","UpperCeiling",$J244)&amp;"_"&amp;AC$87,Tab.U.Default!$1:$1,0)-1)</f>
        <v>1.2</v>
      </c>
      <c r="AD244" s="105">
        <f ca="1">OFFSET(Tab.U.Default!$A$1,$AB244-1,MATCH("U_Class_"&amp;IF($J244="TopCeiling","UpperCeiling",$J244)&amp;"_"&amp;AD$87,Tab.U.Default!$1:$1,0)-1)</f>
        <v>1.2</v>
      </c>
      <c r="AE244" s="105">
        <f ca="1">OFFSET(Tab.U.Default!$A$1,$AB244-1,MATCH("U_Class_"&amp;IF($J244="TopCeiling","UpperCeiling",$J244)&amp;"_"&amp;AE$87,Tab.U.Default!$1:$1,0)-1)</f>
        <v>0.8</v>
      </c>
      <c r="AF244" s="26">
        <f t="shared" ca="1" si="189"/>
        <v>1.2</v>
      </c>
      <c r="AG244" s="26">
        <f t="shared" ca="1" si="190"/>
        <v>1.2</v>
      </c>
      <c r="AH244" s="18" t="str">
        <f t="shared" si="211"/>
        <v>Refurbish</v>
      </c>
      <c r="AI244" s="18" t="str">
        <f t="shared" si="191"/>
        <v>Add</v>
      </c>
      <c r="AJ244" s="18">
        <f t="shared" si="192"/>
        <v>2016</v>
      </c>
      <c r="AK244" s="17">
        <f>MATCH(AJ244,Tab.Year.Period!$11:$11,1)-3</f>
        <v>12</v>
      </c>
      <c r="AL244" s="17">
        <f>MATCH(AL$88&amp;"."&amp;TEXT(AK244,"00"),Tab.Insulation.Default!$A:$A,0)</f>
        <v>23</v>
      </c>
      <c r="AM244" s="20" t="e">
        <f ca="1">IF(ISNA(IF(S244="",#N/A,S244)),OFFSET(Tab.Insulation.Default!$A$1,$AL244-1,MATCH(AM$87&amp;"_"&amp;$K244,Tab.Insulation.Default!$1:$1,0)-1),#N/A)</f>
        <v>#N/A</v>
      </c>
      <c r="AN244" s="27">
        <f t="shared" si="193"/>
        <v>12</v>
      </c>
      <c r="AO244" s="22" t="e">
        <f ca="1">IF(ISNA(IF(V244="",#N/A,V244)),OFFSET(Tab.Insulation.Default!$A$1,$AL244-1,MATCH(AO$87&amp;"_"&amp;$K244,Tab.Insulation.Default!$1:$1,0)-1),#N/A)</f>
        <v>#N/A</v>
      </c>
      <c r="AP244" s="23">
        <f t="shared" si="194"/>
        <v>6.9999999999999993E-2</v>
      </c>
      <c r="AQ244" s="29" t="str">
        <f t="shared" si="212"/>
        <v>Gen.Refurbished.12</v>
      </c>
      <c r="AR244" s="17">
        <f>MATCH(AR$88&amp;"."&amp;AQ244,Tab.Measure.f.Default!$A:$A,0)</f>
        <v>23</v>
      </c>
      <c r="AS244" s="21">
        <f ca="1">OFFSET(Tab.Measure.f.Default!$A$1,AR244-1,MATCH(AS$87&amp;"_"&amp;$J244,Tab.Measure.f.Default!$1:$1,0)-1)</f>
        <v>0.75</v>
      </c>
      <c r="AT244" s="29" t="str">
        <f t="shared" si="213"/>
        <v>MUH.NA.05</v>
      </c>
      <c r="AU244" s="17">
        <f>MATCH(AU$88&amp;"."&amp;AT244,Tab.Measure.f.Default!$A:$A,0)</f>
        <v>40</v>
      </c>
      <c r="AV244" s="21">
        <f ca="1">OFFSET(Tab.Measure.f.Default!$A$1,AU244-1,MATCH(AV$87&amp;"_"&amp;$J244,Tab.Measure.f.Default!$1:$1,0)-1)</f>
        <v>0.37</v>
      </c>
      <c r="AW244" s="30">
        <f t="shared" si="195"/>
        <v>0.5</v>
      </c>
      <c r="AX244" s="9">
        <f t="shared" ca="1" si="214"/>
        <v>0.83333333333333337</v>
      </c>
      <c r="AY244" s="9">
        <f t="shared" si="215"/>
        <v>1.7142857142857144</v>
      </c>
      <c r="AZ244" s="9">
        <f t="shared" ca="1" si="196"/>
        <v>2.5476190476190479</v>
      </c>
      <c r="BA244" s="9">
        <f t="shared" ca="1" si="197"/>
        <v>0.39252336448598124</v>
      </c>
      <c r="BB244" s="9">
        <f t="shared" ca="1" si="216"/>
        <v>0.79626168224299065</v>
      </c>
      <c r="BC244" s="32" t="str">
        <f t="shared" si="217"/>
        <v>D</v>
      </c>
      <c r="BD244" s="20" t="str">
        <f ca="1">OFFSET(Tab.Uncertainty.Levels!$A$1,MATCH(BD$88,Tab.Uncertainty.Levels!$A:$A,0)-1,MATCH(BD$87&amp;"_"&amp;BC244,Tab.Uncertainty.Levels!$1:$1,0)-1)</f>
        <v>Use of default values; building constructed until 1983</v>
      </c>
      <c r="BE244" s="24">
        <f ca="1">OFFSET(Tab.Uncertainty.Levels!$A$1,MATCH(BE$88,Tab.Uncertainty.Levels!$A:$A,0)-1,MATCH(BE$87&amp;"_"&amp;BC244,Tab.Uncertainty.Levels!$1:$1,0)-1)</f>
        <v>0.3</v>
      </c>
      <c r="BF244" s="32" t="str">
        <f t="shared" si="218"/>
        <v>-</v>
      </c>
      <c r="BG244" s="20" t="e">
        <f ca="1">OFFSET(Tab.Uncertainty.Levels!$A$1,MATCH(BG$88,Tab.Uncertainty.Levels!$A:$A,0)-1,MATCH(BG$87&amp;"_"&amp;BF244,Tab.Uncertainty.Levels!$1:$1,0)-1)</f>
        <v>#N/A</v>
      </c>
      <c r="BH244" s="24" t="e">
        <f ca="1">OFFSET(Tab.Uncertainty.Levels!$A$1,MATCH(BH$88,Tab.Uncertainty.Levels!$A:$A,0)-1,MATCH(BH$87&amp;"_"&amp;BF244,Tab.Uncertainty.Levels!$1:$1,0)-1)</f>
        <v>#N/A</v>
      </c>
      <c r="BI244" s="32" t="str">
        <f t="shared" si="224"/>
        <v>D</v>
      </c>
      <c r="BJ244" s="13">
        <f ca="1">IF(BF244="-",BE244,BH244)</f>
        <v>0.3</v>
      </c>
      <c r="BK244" s="32" t="str">
        <f>IF(OR($L244="NoDataSource",IFERROR(IF($S244="",#N/A,$S244),0)=0),IF(IFERROR(IF(U244="",#N/A,U244),0)=0,"E","D"),IF($L244="DesignDataPlusQA","A",IF($L244="DesignData","B","C")))</f>
        <v>C</v>
      </c>
      <c r="BL244" s="20" t="str">
        <f ca="1">OFFSET(Tab.Uncertainty.Levels!$A$1,MATCH(BL$88,Tab.Uncertainty.Levels!$A:$A,0)-1,MATCH(BL$87&amp;"_"&amp;BK244,Tab.Uncertainty.Levels!$1:$1,0)-1)</f>
        <v>Insulation thickness determined by inspection onsite / record or statement of owner</v>
      </c>
      <c r="BM244" s="24">
        <f ca="1">OFFSET(Tab.Uncertainty.Levels!$A$1,MATCH(BM$88,Tab.Uncertainty.Levels!$A:$A,0)-1,MATCH(BM$87&amp;"_"&amp;BK244,Tab.Uncertainty.Levels!$1:$1,0)-1)</f>
        <v>0.25</v>
      </c>
      <c r="BN244" s="34">
        <f ca="1">OFFSET(Tab.Uncertainty.Levels!$A$1,MATCH(BN$88,Tab.Uncertainty.Levels!$A:$A,0)-1,MATCH(BN$87&amp;"_"&amp;BK244,Tab.Uncertainty.Levels!$1:$1,0)-1)</f>
        <v>2</v>
      </c>
      <c r="BO244" s="13">
        <f ca="1">IFERROR(MIN(BM244,BN244/AN244),0)</f>
        <v>0.16666666666666666</v>
      </c>
      <c r="BP244" s="32" t="str">
        <f>IF(OR($L244="NoDataSource",IFERROR(IF($V244="",#N/A,$V244),0)=0),IF(IFERROR(IF(U244="",#N/A,U244),0)=0,"E","D"),IF($L244="DesignDataPlusQA","A",IF($L244="DesignData","B","C")))</f>
        <v>C</v>
      </c>
      <c r="BQ244" s="20" t="str">
        <f ca="1">OFFSET(Tab.Uncertainty.Levels!$A$1,MATCH(BQ$88,Tab.Uncertainty.Levels!$A:$A,0)-1,MATCH(BQ$87&amp;"_"&amp;BP244,Tab.Uncertainty.Levels!$1:$1,0)-1)</f>
        <v>Thermal conductivity of Insulation determined by inspection onsite / record or statement of owner</v>
      </c>
      <c r="BR244" s="97">
        <f ca="1">OFFSET(Tab.Uncertainty.Levels!$A$1,MATCH(BR$88,Tab.Uncertainty.Levels!$A:$A,0)-1,MATCH(BR$87&amp;"_"&amp;BP244,Tab.Uncertainty.Levels!$1:$1,0)-1)</f>
        <v>0.15</v>
      </c>
      <c r="BS244" s="32" t="str">
        <f>IF(L244="NoDataSource","D",IF(IFERROR(IF($T244="",#N/A,$T244),0)=0,IF(OR(IFERROR(IF($S244="",#N/A,$S244),0)&gt;0,$R244="Refurbish"),"D","E"),IF($L244="DesignDataPlusQA","A",IF($L244="DesignData","B","C"))))</f>
        <v>C</v>
      </c>
      <c r="BT244" s="20" t="str">
        <f ca="1">OFFSET(Tab.Uncertainty.Levels!$A$1,MATCH(BT$88,Tab.Uncertainty.Levels!$A:$A,0)-1,MATCH(BT$87&amp;"_"&amp;BS244,Tab.Uncertainty.Levels!$1:$1,0)-1)</f>
        <v>Insulation fraction determined by inspection onsite / record or statement of owner</v>
      </c>
      <c r="BU244" s="33">
        <f ca="1">OFFSET(Tab.Uncertainty.Levels!$A$1,MATCH(BU$88,Tab.Uncertainty.Levels!$A:$A,0)-1,MATCH(BU$87&amp;"_"&amp;BS244,Tab.Uncertainty.Levels!$1:$1,0)-1)</f>
        <v>0.2</v>
      </c>
      <c r="BV244" s="13">
        <f ca="1">IFERROR(MIN(BU244/AW244,1,(1-AW244)/AW244),0)</f>
        <v>0.4</v>
      </c>
      <c r="BW244" s="96">
        <f ca="1">ABS(1+(AW244*(1/(1+AN244/100/AP244*AG244)^2-1)))*BJ244*$AG244</f>
        <v>0.1992593239584243</v>
      </c>
      <c r="BX244" s="96">
        <f ca="1">ABS(-AG244+1/(1/AG244+AN244/100/AP244))*BV244*AW244</f>
        <v>0.16149532710280376</v>
      </c>
      <c r="BY244" s="96">
        <f ca="1">ABS(-AW244*AP244/((AP244/AG244+AN244/100)^2))*(BO244*AN244/100)</f>
        <v>2.2010655952484935E-2</v>
      </c>
      <c r="BZ244" s="202">
        <f ca="1">ABS(AW244*AN244/100/(1/AG244*AP244+AN244/100)^2)*(BR244*AP244)</f>
        <v>1.9809590357236444E-2</v>
      </c>
      <c r="CA244" s="103">
        <f t="shared" ca="1" si="198"/>
        <v>0.25818967389496827</v>
      </c>
      <c r="CB244" s="37">
        <f t="shared" ca="1" si="219"/>
        <v>0.25024351717783333</v>
      </c>
      <c r="CC244" s="37">
        <f t="shared" ca="1" si="220"/>
        <v>0.20281690140845074</v>
      </c>
      <c r="CD244" s="37">
        <f t="shared" ca="1" si="221"/>
        <v>2.7642490456759251E-2</v>
      </c>
      <c r="CE244" s="37">
        <f t="shared" ca="1" si="222"/>
        <v>2.4878241411083326E-2</v>
      </c>
      <c r="CF244" s="13">
        <f t="shared" ca="1" si="223"/>
        <v>0.32425228998546485</v>
      </c>
      <c r="CG244" s="101">
        <f ca="1">AG244</f>
        <v>1.2</v>
      </c>
      <c r="CH244" s="101">
        <f>AW244</f>
        <v>0.5</v>
      </c>
      <c r="CI244" s="203">
        <f>IF(CH244&gt;0,AN244,0)</f>
        <v>12</v>
      </c>
      <c r="CJ244" s="102">
        <f>IF(AND(CH244&gt;0,CI244&gt;0),AP244,0)</f>
        <v>6.9999999999999993E-2</v>
      </c>
      <c r="CK244" s="102">
        <f ca="1">BB244</f>
        <v>0.79626168224299065</v>
      </c>
      <c r="CL244" s="37">
        <f t="shared" ca="1" si="199"/>
        <v>0.3</v>
      </c>
      <c r="CM244" s="37">
        <f t="shared" ca="1" si="200"/>
        <v>0.4</v>
      </c>
      <c r="CN244" s="37">
        <f t="shared" ca="1" si="201"/>
        <v>0.16666666666666666</v>
      </c>
      <c r="CO244" s="37">
        <f t="shared" ca="1" si="202"/>
        <v>0.15</v>
      </c>
      <c r="CP244" s="37">
        <f t="shared" ca="1" si="203"/>
        <v>0.32425228998546485</v>
      </c>
      <c r="CQ244" s="95">
        <f t="shared" ca="1" si="204"/>
        <v>0.36</v>
      </c>
      <c r="CR244" s="95">
        <f t="shared" ca="1" si="205"/>
        <v>0.2</v>
      </c>
      <c r="CS244" s="95">
        <f t="shared" ca="1" si="206"/>
        <v>2</v>
      </c>
      <c r="CT244" s="103">
        <f t="shared" ca="1" si="207"/>
        <v>1.0499999999999999E-2</v>
      </c>
      <c r="CU244" s="95">
        <f t="shared" ca="1" si="208"/>
        <v>0.25818967389496827</v>
      </c>
      <c r="CV244" s="37">
        <f ca="1">$CB244^2/$CF244^2</f>
        <v>0.59560668979775633</v>
      </c>
      <c r="CW244" s="37">
        <f ca="1">$CD244^2/$CF244^2</f>
        <v>7.2675534218941571E-3</v>
      </c>
      <c r="CX244" s="37">
        <f ca="1">$CE244^2/$CF244^2</f>
        <v>5.886718271734267E-3</v>
      </c>
      <c r="CY244" s="37">
        <f ca="1">$CC244^2/$CF244^2</f>
        <v>0.39123903850861502</v>
      </c>
      <c r="DA244" s="98" t="s">
        <v>214</v>
      </c>
      <c r="DB244" s="36">
        <f ca="1">OFFSET($A$1,ROW(DB244)-1,MATCH(DA244,$1:$1,0)-1)</f>
        <v>12</v>
      </c>
      <c r="DC244" s="9">
        <f ca="1">BB244</f>
        <v>0.79626168224299065</v>
      </c>
      <c r="DD244" s="9">
        <f ca="1">$DC244+$CA244</f>
        <v>1.0544513561379589</v>
      </c>
      <c r="DE244" s="9">
        <f ca="1">$DC244-$CA244</f>
        <v>0.53807200834802238</v>
      </c>
      <c r="DF244" s="10">
        <f t="shared" ca="1" si="181"/>
        <v>0.32425228998546485</v>
      </c>
    </row>
    <row r="245" spans="1:110" s="8" customFormat="1" ht="32.4" customHeight="1">
      <c r="A245" s="206" t="s">
        <v>681</v>
      </c>
      <c r="B245" s="208" t="s">
        <v>2346</v>
      </c>
      <c r="C245" s="206" t="str">
        <f t="shared" si="186"/>
        <v>Parameter-Variation: Lambda_Insulation_Effective = 0,080 W/(m·K)</v>
      </c>
      <c r="D245" s="206"/>
      <c r="E245" s="206" t="s">
        <v>200</v>
      </c>
      <c r="F245" s="206" t="str">
        <f t="shared" si="225"/>
        <v>0,080 W/(m·K)</v>
      </c>
      <c r="G245" s="206" t="s">
        <v>2170</v>
      </c>
      <c r="H245" s="206" t="s">
        <v>2171</v>
      </c>
      <c r="I245" s="156" t="s">
        <v>80</v>
      </c>
      <c r="J245" s="156" t="s">
        <v>134</v>
      </c>
      <c r="K245" s="156" t="s">
        <v>155</v>
      </c>
      <c r="L245" s="156" t="s">
        <v>66</v>
      </c>
      <c r="M245" s="156" t="s">
        <v>188</v>
      </c>
      <c r="N245" s="7">
        <v>1960</v>
      </c>
      <c r="O245" s="156">
        <v>1</v>
      </c>
      <c r="P245" s="156">
        <v>0</v>
      </c>
      <c r="Q245" s="156" t="s">
        <v>435</v>
      </c>
      <c r="R245" s="156" t="s">
        <v>58</v>
      </c>
      <c r="S245" s="19">
        <v>12</v>
      </c>
      <c r="T245" s="19">
        <v>0.5</v>
      </c>
      <c r="U245" s="19">
        <v>2016</v>
      </c>
      <c r="V245" s="19">
        <f t="shared" si="227"/>
        <v>7.9999999999999988E-2</v>
      </c>
      <c r="W245" s="28" t="s">
        <v>59</v>
      </c>
      <c r="X245" s="19" t="e">
        <v>#N/A</v>
      </c>
      <c r="Y245" s="105">
        <f ca="1">IFERROR(OFFSET(Tab.Const.ConstrBorder!$A$1,MATCH(Q245,Tab.Const.ConstrBorder!$A:$A,0)-1,MATCH(Y$87,Tab.Const.ConstrBorder!$1:$1,0)-1),0)</f>
        <v>0</v>
      </c>
      <c r="Z245" s="18">
        <f t="shared" si="188"/>
        <v>1960</v>
      </c>
      <c r="AA245" s="17">
        <f>MATCH(Z245,Tab.Year.Period!$11:$11,1)-3</f>
        <v>5</v>
      </c>
      <c r="AB245" s="17">
        <f>MATCH(AB$88&amp;"."&amp;TEXT(AA245,"00"),Tab.U.Default!$A:$A,0)</f>
        <v>28</v>
      </c>
      <c r="AC245" s="105">
        <f ca="1">OFFSET(Tab.U.Default!$A$1,$AB245-1,MATCH("U_Class_"&amp;IF($J245="TopCeiling","UpperCeiling",$J245)&amp;"_"&amp;AC$87,Tab.U.Default!$1:$1,0)-1)</f>
        <v>1.2</v>
      </c>
      <c r="AD245" s="105">
        <f ca="1">OFFSET(Tab.U.Default!$A$1,$AB245-1,MATCH("U_Class_"&amp;IF($J245="TopCeiling","UpperCeiling",$J245)&amp;"_"&amp;AD$87,Tab.U.Default!$1:$1,0)-1)</f>
        <v>1.2</v>
      </c>
      <c r="AE245" s="105">
        <f ca="1">OFFSET(Tab.U.Default!$A$1,$AB245-1,MATCH("U_Class_"&amp;IF($J245="TopCeiling","UpperCeiling",$J245)&amp;"_"&amp;AE$87,Tab.U.Default!$1:$1,0)-1)</f>
        <v>0.8</v>
      </c>
      <c r="AF245" s="26">
        <f t="shared" ca="1" si="189"/>
        <v>1.2</v>
      </c>
      <c r="AG245" s="26">
        <f t="shared" ca="1" si="190"/>
        <v>1.2</v>
      </c>
      <c r="AH245" s="18" t="str">
        <f t="shared" si="211"/>
        <v>Refurbish</v>
      </c>
      <c r="AI245" s="18" t="str">
        <f t="shared" si="191"/>
        <v>Add</v>
      </c>
      <c r="AJ245" s="18">
        <f t="shared" si="192"/>
        <v>2016</v>
      </c>
      <c r="AK245" s="17">
        <f>MATCH(AJ245,Tab.Year.Period!$11:$11,1)-3</f>
        <v>12</v>
      </c>
      <c r="AL245" s="17">
        <f>MATCH(AL$88&amp;"."&amp;TEXT(AK245,"00"),Tab.Insulation.Default!$A:$A,0)</f>
        <v>23</v>
      </c>
      <c r="AM245" s="20" t="e">
        <f ca="1">IF(ISNA(IF(S245="",#N/A,S245)),OFFSET(Tab.Insulation.Default!$A$1,$AL245-1,MATCH(AM$87&amp;"_"&amp;$K245,Tab.Insulation.Default!$1:$1,0)-1),#N/A)</f>
        <v>#N/A</v>
      </c>
      <c r="AN245" s="27">
        <f t="shared" si="193"/>
        <v>12</v>
      </c>
      <c r="AO245" s="22" t="e">
        <f ca="1">IF(ISNA(IF(V245="",#N/A,V245)),OFFSET(Tab.Insulation.Default!$A$1,$AL245-1,MATCH(AO$87&amp;"_"&amp;$K245,Tab.Insulation.Default!$1:$1,0)-1),#N/A)</f>
        <v>#N/A</v>
      </c>
      <c r="AP245" s="23">
        <f t="shared" si="194"/>
        <v>7.9999999999999988E-2</v>
      </c>
      <c r="AQ245" s="29" t="str">
        <f t="shared" si="212"/>
        <v>Gen.Refurbished.12</v>
      </c>
      <c r="AR245" s="17">
        <f>MATCH(AR$88&amp;"."&amp;AQ245,Tab.Measure.f.Default!$A:$A,0)</f>
        <v>23</v>
      </c>
      <c r="AS245" s="21">
        <f ca="1">OFFSET(Tab.Measure.f.Default!$A$1,AR245-1,MATCH(AS$87&amp;"_"&amp;$J245,Tab.Measure.f.Default!$1:$1,0)-1)</f>
        <v>0.75</v>
      </c>
      <c r="AT245" s="29" t="str">
        <f t="shared" si="213"/>
        <v>MUH.NA.05</v>
      </c>
      <c r="AU245" s="17">
        <f>MATCH(AU$88&amp;"."&amp;AT245,Tab.Measure.f.Default!$A:$A,0)</f>
        <v>40</v>
      </c>
      <c r="AV245" s="21">
        <f ca="1">OFFSET(Tab.Measure.f.Default!$A$1,AU245-1,MATCH(AV$87&amp;"_"&amp;$J245,Tab.Measure.f.Default!$1:$1,0)-1)</f>
        <v>0.37</v>
      </c>
      <c r="AW245" s="30">
        <f t="shared" si="195"/>
        <v>0.5</v>
      </c>
      <c r="AX245" s="9">
        <f t="shared" ca="1" si="214"/>
        <v>0.83333333333333337</v>
      </c>
      <c r="AY245" s="9">
        <f t="shared" si="215"/>
        <v>1.5000000000000002</v>
      </c>
      <c r="AZ245" s="9">
        <f t="shared" ca="1" si="196"/>
        <v>2.3333333333333335</v>
      </c>
      <c r="BA245" s="9">
        <f t="shared" ca="1" si="197"/>
        <v>0.42857142857142855</v>
      </c>
      <c r="BB245" s="9">
        <f t="shared" ca="1" si="216"/>
        <v>0.81428571428571428</v>
      </c>
      <c r="BC245" s="32" t="str">
        <f t="shared" si="217"/>
        <v>D</v>
      </c>
      <c r="BD245" s="20" t="str">
        <f ca="1">OFFSET(Tab.Uncertainty.Levels!$A$1,MATCH(BD$88,Tab.Uncertainty.Levels!$A:$A,0)-1,MATCH(BD$87&amp;"_"&amp;BC245,Tab.Uncertainty.Levels!$1:$1,0)-1)</f>
        <v>Use of default values; building constructed until 1983</v>
      </c>
      <c r="BE245" s="24">
        <f ca="1">OFFSET(Tab.Uncertainty.Levels!$A$1,MATCH(BE$88,Tab.Uncertainty.Levels!$A:$A,0)-1,MATCH(BE$87&amp;"_"&amp;BC245,Tab.Uncertainty.Levels!$1:$1,0)-1)</f>
        <v>0.3</v>
      </c>
      <c r="BF245" s="32" t="str">
        <f t="shared" si="218"/>
        <v>-</v>
      </c>
      <c r="BG245" s="20" t="e">
        <f ca="1">OFFSET(Tab.Uncertainty.Levels!$A$1,MATCH(BG$88,Tab.Uncertainty.Levels!$A:$A,0)-1,MATCH(BG$87&amp;"_"&amp;BF245,Tab.Uncertainty.Levels!$1:$1,0)-1)</f>
        <v>#N/A</v>
      </c>
      <c r="BH245" s="24" t="e">
        <f ca="1">OFFSET(Tab.Uncertainty.Levels!$A$1,MATCH(BH$88,Tab.Uncertainty.Levels!$A:$A,0)-1,MATCH(BH$87&amp;"_"&amp;BF245,Tab.Uncertainty.Levels!$1:$1,0)-1)</f>
        <v>#N/A</v>
      </c>
      <c r="BI245" s="32" t="str">
        <f t="shared" si="224"/>
        <v>D</v>
      </c>
      <c r="BJ245" s="13">
        <f ca="1">IF(BF245="-",BE245,BH245)</f>
        <v>0.3</v>
      </c>
      <c r="BK245" s="32" t="str">
        <f>IF(OR($L245="NoDataSource",IFERROR(IF($S245="",#N/A,$S245),0)=0),IF(IFERROR(IF(U245="",#N/A,U245),0)=0,"E","D"),IF($L245="DesignDataPlusQA","A",IF($L245="DesignData","B","C")))</f>
        <v>C</v>
      </c>
      <c r="BL245" s="20" t="str">
        <f ca="1">OFFSET(Tab.Uncertainty.Levels!$A$1,MATCH(BL$88,Tab.Uncertainty.Levels!$A:$A,0)-1,MATCH(BL$87&amp;"_"&amp;BK245,Tab.Uncertainty.Levels!$1:$1,0)-1)</f>
        <v>Insulation thickness determined by inspection onsite / record or statement of owner</v>
      </c>
      <c r="BM245" s="24">
        <f ca="1">OFFSET(Tab.Uncertainty.Levels!$A$1,MATCH(BM$88,Tab.Uncertainty.Levels!$A:$A,0)-1,MATCH(BM$87&amp;"_"&amp;BK245,Tab.Uncertainty.Levels!$1:$1,0)-1)</f>
        <v>0.25</v>
      </c>
      <c r="BN245" s="34">
        <f ca="1">OFFSET(Tab.Uncertainty.Levels!$A$1,MATCH(BN$88,Tab.Uncertainty.Levels!$A:$A,0)-1,MATCH(BN$87&amp;"_"&amp;BK245,Tab.Uncertainty.Levels!$1:$1,0)-1)</f>
        <v>2</v>
      </c>
      <c r="BO245" s="13">
        <f ca="1">IFERROR(MIN(BM245,BN245/AN245),0)</f>
        <v>0.16666666666666666</v>
      </c>
      <c r="BP245" s="32" t="str">
        <f>IF(OR($L245="NoDataSource",IFERROR(IF($V245="",#N/A,$V245),0)=0),IF(IFERROR(IF(U245="",#N/A,U245),0)=0,"E","D"),IF($L245="DesignDataPlusQA","A",IF($L245="DesignData","B","C")))</f>
        <v>C</v>
      </c>
      <c r="BQ245" s="20" t="str">
        <f ca="1">OFFSET(Tab.Uncertainty.Levels!$A$1,MATCH(BQ$88,Tab.Uncertainty.Levels!$A:$A,0)-1,MATCH(BQ$87&amp;"_"&amp;BP245,Tab.Uncertainty.Levels!$1:$1,0)-1)</f>
        <v>Thermal conductivity of Insulation determined by inspection onsite / record or statement of owner</v>
      </c>
      <c r="BR245" s="97">
        <f ca="1">OFFSET(Tab.Uncertainty.Levels!$A$1,MATCH(BR$88,Tab.Uncertainty.Levels!$A:$A,0)-1,MATCH(BR$87&amp;"_"&amp;BP245,Tab.Uncertainty.Levels!$1:$1,0)-1)</f>
        <v>0.15</v>
      </c>
      <c r="BS245" s="32" t="str">
        <f>IF(L245="NoDataSource","D",IF(IFERROR(IF($T245="",#N/A,$T245),0)=0,IF(OR(IFERROR(IF($S245="",#N/A,$S245),0)&gt;0,$R245="Refurbish"),"D","E"),IF($L245="DesignDataPlusQA","A",IF($L245="DesignData","B","C"))))</f>
        <v>C</v>
      </c>
      <c r="BT245" s="20" t="str">
        <f ca="1">OFFSET(Tab.Uncertainty.Levels!$A$1,MATCH(BT$88,Tab.Uncertainty.Levels!$A:$A,0)-1,MATCH(BT$87&amp;"_"&amp;BS245,Tab.Uncertainty.Levels!$1:$1,0)-1)</f>
        <v>Insulation fraction determined by inspection onsite / record or statement of owner</v>
      </c>
      <c r="BU245" s="33">
        <f ca="1">OFFSET(Tab.Uncertainty.Levels!$A$1,MATCH(BU$88,Tab.Uncertainty.Levels!$A:$A,0)-1,MATCH(BU$87&amp;"_"&amp;BS245,Tab.Uncertainty.Levels!$1:$1,0)-1)</f>
        <v>0.2</v>
      </c>
      <c r="BV245" s="13">
        <f ca="1">IFERROR(MIN(BU245/AW245,1,(1-AW245)/AW245),0)</f>
        <v>0.4</v>
      </c>
      <c r="BW245" s="96">
        <f ca="1">ABS(1+(AW245*(1/(1+AN245/100/AP245*AG245)^2-1)))*BJ245*$AG245</f>
        <v>0.20295918367346935</v>
      </c>
      <c r="BX245" s="96">
        <f ca="1">ABS(-AG245+1/(1/AG245+AN245/100/AP245))*BV245*AW245</f>
        <v>0.15428571428571428</v>
      </c>
      <c r="BY245" s="96">
        <f ca="1">ABS(-AW245*AP245/((AP245/AG245+AN245/100)^2))*(BO245*AN245/100)</f>
        <v>2.2959183673469389E-2</v>
      </c>
      <c r="BZ245" s="202">
        <f ca="1">ABS(AW245*AN245/100/(1/AG245*AP245+AN245/100)^2)*(BR245*AP245)</f>
        <v>2.066326530612245E-2</v>
      </c>
      <c r="CA245" s="103">
        <f t="shared" ca="1" si="198"/>
        <v>0.25680850164688362</v>
      </c>
      <c r="CB245" s="37">
        <f t="shared" ca="1" si="219"/>
        <v>0.24924812030075183</v>
      </c>
      <c r="CC245" s="37">
        <f t="shared" ca="1" si="220"/>
        <v>0.18947368421052629</v>
      </c>
      <c r="CD245" s="37">
        <f t="shared" ca="1" si="221"/>
        <v>2.8195488721804513E-2</v>
      </c>
      <c r="CE245" s="37">
        <f t="shared" ca="1" si="222"/>
        <v>2.5375939849624062E-2</v>
      </c>
      <c r="CF245" s="13">
        <f t="shared" ca="1" si="223"/>
        <v>0.31537886167161144</v>
      </c>
      <c r="CG245" s="101">
        <f ca="1">AG245</f>
        <v>1.2</v>
      </c>
      <c r="CH245" s="101">
        <f>AW245</f>
        <v>0.5</v>
      </c>
      <c r="CI245" s="203">
        <f>IF(CH245&gt;0,AN245,0)</f>
        <v>12</v>
      </c>
      <c r="CJ245" s="102">
        <f>IF(AND(CH245&gt;0,CI245&gt;0),AP245,0)</f>
        <v>7.9999999999999988E-2</v>
      </c>
      <c r="CK245" s="102">
        <f ca="1">BB245</f>
        <v>0.81428571428571428</v>
      </c>
      <c r="CL245" s="37">
        <f t="shared" ca="1" si="199"/>
        <v>0.3</v>
      </c>
      <c r="CM245" s="37">
        <f t="shared" ca="1" si="200"/>
        <v>0.4</v>
      </c>
      <c r="CN245" s="37">
        <f t="shared" ca="1" si="201"/>
        <v>0.16666666666666666</v>
      </c>
      <c r="CO245" s="37">
        <f t="shared" ca="1" si="202"/>
        <v>0.15</v>
      </c>
      <c r="CP245" s="37">
        <f t="shared" ca="1" si="203"/>
        <v>0.31537886167161144</v>
      </c>
      <c r="CQ245" s="95">
        <f t="shared" ca="1" si="204"/>
        <v>0.36</v>
      </c>
      <c r="CR245" s="95">
        <f t="shared" ca="1" si="205"/>
        <v>0.2</v>
      </c>
      <c r="CS245" s="95">
        <f t="shared" ca="1" si="206"/>
        <v>2</v>
      </c>
      <c r="CT245" s="103">
        <f t="shared" ca="1" si="207"/>
        <v>1.1999999999999999E-2</v>
      </c>
      <c r="CU245" s="95">
        <f t="shared" ca="1" si="208"/>
        <v>0.25680850164688362</v>
      </c>
      <c r="CV245" s="37">
        <f ca="1">$CB245^2/$CF245^2</f>
        <v>0.62459516920568436</v>
      </c>
      <c r="CW245" s="37">
        <f ca="1">$CD245^2/$CF245^2</f>
        <v>7.9927106478891296E-3</v>
      </c>
      <c r="CX245" s="37">
        <f ca="1">$CE245^2/$CF245^2</f>
        <v>6.4740956247901953E-3</v>
      </c>
      <c r="CY245" s="37">
        <f ca="1">$CC245^2/$CF245^2</f>
        <v>0.36093802452163637</v>
      </c>
      <c r="DA245" s="98" t="s">
        <v>214</v>
      </c>
      <c r="DB245" s="36">
        <f ca="1">OFFSET($A$1,ROW(DB245)-1,MATCH(DA245,$1:$1,0)-1)</f>
        <v>12</v>
      </c>
      <c r="DC245" s="9">
        <f ca="1">BB245</f>
        <v>0.81428571428571428</v>
      </c>
      <c r="DD245" s="9">
        <f ca="1">$DC245+$CA245</f>
        <v>1.071094215932598</v>
      </c>
      <c r="DE245" s="9">
        <f ca="1">$DC245-$CA245</f>
        <v>0.55747721263883065</v>
      </c>
      <c r="DF245" s="10">
        <f t="shared" ca="1" si="181"/>
        <v>0.31537886167161155</v>
      </c>
    </row>
    <row r="246" spans="1:110" s="8" customFormat="1" ht="32.4" customHeight="1">
      <c r="A246" s="206" t="s">
        <v>682</v>
      </c>
      <c r="B246" s="208" t="s">
        <v>2346</v>
      </c>
      <c r="C246" s="206" t="str">
        <f t="shared" si="186"/>
        <v>Parameter-Variation: Code_DataSources = DesignDataPlusQA</v>
      </c>
      <c r="D246" s="206"/>
      <c r="E246" s="206" t="s">
        <v>202</v>
      </c>
      <c r="F246" s="206" t="str">
        <f>L246</f>
        <v>DesignDataPlusQA</v>
      </c>
      <c r="G246" s="206" t="s">
        <v>2170</v>
      </c>
      <c r="H246" s="206" t="s">
        <v>2171</v>
      </c>
      <c r="I246" s="156" t="s">
        <v>80</v>
      </c>
      <c r="J246" s="156" t="s">
        <v>134</v>
      </c>
      <c r="K246" s="156" t="s">
        <v>155</v>
      </c>
      <c r="L246" s="156" t="s">
        <v>68</v>
      </c>
      <c r="M246" s="156" t="s">
        <v>188</v>
      </c>
      <c r="N246" s="7">
        <v>1960</v>
      </c>
      <c r="O246" s="156">
        <v>1</v>
      </c>
      <c r="P246" s="156">
        <v>0</v>
      </c>
      <c r="Q246" s="156" t="s">
        <v>435</v>
      </c>
      <c r="R246" s="156" t="s">
        <v>58</v>
      </c>
      <c r="S246" s="19">
        <v>12</v>
      </c>
      <c r="T246" s="19">
        <v>0.5</v>
      </c>
      <c r="U246" s="19">
        <v>2016</v>
      </c>
      <c r="V246" s="19" t="e">
        <v>#N/A</v>
      </c>
      <c r="W246" s="28" t="s">
        <v>59</v>
      </c>
      <c r="X246" s="19" t="e">
        <v>#N/A</v>
      </c>
      <c r="Y246" s="105">
        <f ca="1">IFERROR(OFFSET(Tab.Const.ConstrBorder!$A$1,MATCH(Q246,Tab.Const.ConstrBorder!$A:$A,0)-1,MATCH(Y$87,Tab.Const.ConstrBorder!$1:$1,0)-1),0)</f>
        <v>0</v>
      </c>
      <c r="Z246" s="18">
        <f t="shared" si="188"/>
        <v>1960</v>
      </c>
      <c r="AA246" s="17">
        <f>MATCH(Z246,Tab.Year.Period!$11:$11,1)-3</f>
        <v>5</v>
      </c>
      <c r="AB246" s="17">
        <f>MATCH(AB$88&amp;"."&amp;TEXT(AA246,"00"),Tab.U.Default!$A:$A,0)</f>
        <v>28</v>
      </c>
      <c r="AC246" s="105">
        <f ca="1">OFFSET(Tab.U.Default!$A$1,$AB246-1,MATCH("U_Class_"&amp;IF($J246="TopCeiling","UpperCeiling",$J246)&amp;"_"&amp;AC$87,Tab.U.Default!$1:$1,0)-1)</f>
        <v>1.2</v>
      </c>
      <c r="AD246" s="105">
        <f ca="1">OFFSET(Tab.U.Default!$A$1,$AB246-1,MATCH("U_Class_"&amp;IF($J246="TopCeiling","UpperCeiling",$J246)&amp;"_"&amp;AD$87,Tab.U.Default!$1:$1,0)-1)</f>
        <v>1.2</v>
      </c>
      <c r="AE246" s="105">
        <f ca="1">OFFSET(Tab.U.Default!$A$1,$AB246-1,MATCH("U_Class_"&amp;IF($J246="TopCeiling","UpperCeiling",$J246)&amp;"_"&amp;AE$87,Tab.U.Default!$1:$1,0)-1)</f>
        <v>0.8</v>
      </c>
      <c r="AF246" s="26">
        <f t="shared" ca="1" si="189"/>
        <v>1.2</v>
      </c>
      <c r="AG246" s="26">
        <f t="shared" ca="1" si="190"/>
        <v>1.2</v>
      </c>
      <c r="AH246" s="18" t="str">
        <f t="shared" si="211"/>
        <v>Refurbish</v>
      </c>
      <c r="AI246" s="18" t="str">
        <f t="shared" si="191"/>
        <v>Add</v>
      </c>
      <c r="AJ246" s="18">
        <f t="shared" si="192"/>
        <v>2016</v>
      </c>
      <c r="AK246" s="17">
        <f>MATCH(AJ246,Tab.Year.Period!$11:$11,1)-3</f>
        <v>12</v>
      </c>
      <c r="AL246" s="17">
        <f>MATCH(AL$88&amp;"."&amp;TEXT(AK246,"00"),Tab.Insulation.Default!$A:$A,0)</f>
        <v>23</v>
      </c>
      <c r="AM246" s="20" t="e">
        <f ca="1">IF(ISNA(IF(S246="",#N/A,S246)),OFFSET(Tab.Insulation.Default!$A$1,$AL246-1,MATCH(AM$87&amp;"_"&amp;$K246,Tab.Insulation.Default!$1:$1,0)-1),#N/A)</f>
        <v>#N/A</v>
      </c>
      <c r="AN246" s="27">
        <f t="shared" si="193"/>
        <v>12</v>
      </c>
      <c r="AO246" s="22">
        <f ca="1">IF(ISNA(IF(V246="",#N/A,V246)),OFFSET(Tab.Insulation.Default!$A$1,$AL246-1,MATCH(AO$87&amp;"_"&amp;$K246,Tab.Insulation.Default!$1:$1,0)-1),#N/A)</f>
        <v>3.5000000000000003E-2</v>
      </c>
      <c r="AP246" s="23">
        <f t="shared" ca="1" si="194"/>
        <v>3.5000000000000003E-2</v>
      </c>
      <c r="AQ246" s="29" t="str">
        <f t="shared" si="212"/>
        <v>Gen.Refurbished.12</v>
      </c>
      <c r="AR246" s="17">
        <f>MATCH(AR$88&amp;"."&amp;AQ246,Tab.Measure.f.Default!$A:$A,0)</f>
        <v>23</v>
      </c>
      <c r="AS246" s="21">
        <f ca="1">OFFSET(Tab.Measure.f.Default!$A$1,AR246-1,MATCH(AS$87&amp;"_"&amp;$J246,Tab.Measure.f.Default!$1:$1,0)-1)</f>
        <v>0.75</v>
      </c>
      <c r="AT246" s="29" t="str">
        <f t="shared" si="213"/>
        <v>MUH.NA.05</v>
      </c>
      <c r="AU246" s="17">
        <f>MATCH(AU$88&amp;"."&amp;AT246,Tab.Measure.f.Default!$A:$A,0)</f>
        <v>40</v>
      </c>
      <c r="AV246" s="21">
        <f ca="1">OFFSET(Tab.Measure.f.Default!$A$1,AU246-1,MATCH(AV$87&amp;"_"&amp;$J246,Tab.Measure.f.Default!$1:$1,0)-1)</f>
        <v>0.37</v>
      </c>
      <c r="AW246" s="30">
        <f t="shared" si="195"/>
        <v>0.5</v>
      </c>
      <c r="AX246" s="9">
        <f t="shared" ca="1" si="214"/>
        <v>0.83333333333333337</v>
      </c>
      <c r="AY246" s="9">
        <f t="shared" ca="1" si="215"/>
        <v>3.4285714285714279</v>
      </c>
      <c r="AZ246" s="9">
        <f t="shared" ca="1" si="196"/>
        <v>4.261904761904761</v>
      </c>
      <c r="BA246" s="9">
        <f t="shared" ca="1" si="197"/>
        <v>0.23463687150837995</v>
      </c>
      <c r="BB246" s="9">
        <f t="shared" ca="1" si="216"/>
        <v>0.71731843575418996</v>
      </c>
      <c r="BC246" s="32" t="str">
        <f t="shared" si="217"/>
        <v>D</v>
      </c>
      <c r="BD246" s="20" t="str">
        <f ca="1">OFFSET(Tab.Uncertainty.Levels!$A$1,MATCH(BD$88,Tab.Uncertainty.Levels!$A:$A,0)-1,MATCH(BD$87&amp;"_"&amp;BC246,Tab.Uncertainty.Levels!$1:$1,0)-1)</f>
        <v>Use of default values; building constructed until 1983</v>
      </c>
      <c r="BE246" s="24">
        <f ca="1">OFFSET(Tab.Uncertainty.Levels!$A$1,MATCH(BE$88,Tab.Uncertainty.Levels!$A:$A,0)-1,MATCH(BE$87&amp;"_"&amp;BC246,Tab.Uncertainty.Levels!$1:$1,0)-1)</f>
        <v>0.3</v>
      </c>
      <c r="BF246" s="32" t="str">
        <f t="shared" si="218"/>
        <v>-</v>
      </c>
      <c r="BG246" s="20" t="e">
        <f ca="1">OFFSET(Tab.Uncertainty.Levels!$A$1,MATCH(BG$88,Tab.Uncertainty.Levels!$A:$A,0)-1,MATCH(BG$87&amp;"_"&amp;BF246,Tab.Uncertainty.Levels!$1:$1,0)-1)</f>
        <v>#N/A</v>
      </c>
      <c r="BH246" s="24" t="e">
        <f ca="1">OFFSET(Tab.Uncertainty.Levels!$A$1,MATCH(BH$88,Tab.Uncertainty.Levels!$A:$A,0)-1,MATCH(BH$87&amp;"_"&amp;BF246,Tab.Uncertainty.Levels!$1:$1,0)-1)</f>
        <v>#N/A</v>
      </c>
      <c r="BI246" s="32" t="str">
        <f t="shared" si="224"/>
        <v>D</v>
      </c>
      <c r="BJ246" s="13">
        <f ca="1">IF(BF246="-",BE246,BH246)</f>
        <v>0.3</v>
      </c>
      <c r="BK246" s="32" t="str">
        <f>IF(OR($L246="NoDataSource",IFERROR(IF($S246="",#N/A,$S246),0)=0),IF(IFERROR(IF(U246="",#N/A,U246),0)=0,"E","D"),IF($L246="DesignDataPlusQA","A",IF($L246="DesignData","B","C")))</f>
        <v>A</v>
      </c>
      <c r="BL246" s="20" t="str">
        <f ca="1">OFFSET(Tab.Uncertainty.Levels!$A$1,MATCH(BL$88,Tab.Uncertainty.Levels!$A:$A,0)-1,MATCH(BL$87&amp;"_"&amp;BK246,Tab.Uncertainty.Levels!$1:$1,0)-1)</f>
        <v>Insulation thickness from design data, quality assured</v>
      </c>
      <c r="BM246" s="24">
        <f ca="1">OFFSET(Tab.Uncertainty.Levels!$A$1,MATCH(BM$88,Tab.Uncertainty.Levels!$A:$A,0)-1,MATCH(BM$87&amp;"_"&amp;BK246,Tab.Uncertainty.Levels!$1:$1,0)-1)</f>
        <v>0.05</v>
      </c>
      <c r="BN246" s="34">
        <f ca="1">OFFSET(Tab.Uncertainty.Levels!$A$1,MATCH(BN$88,Tab.Uncertainty.Levels!$A:$A,0)-1,MATCH(BN$87&amp;"_"&amp;BK246,Tab.Uncertainty.Levels!$1:$1,0)-1)</f>
        <v>0.5</v>
      </c>
      <c r="BO246" s="13">
        <f ca="1">IFERROR(MIN(BM246,BN246/AN246),0)</f>
        <v>4.1666666666666664E-2</v>
      </c>
      <c r="BP246" s="32" t="str">
        <f>IF(OR($L246="NoDataSource",IFERROR(IF($V246="",#N/A,$V246),0)=0),IF(IFERROR(IF(U246="",#N/A,U246),0)=0,"E","D"),IF($L246="DesignDataPlusQA","A",IF($L246="DesignData","B","C")))</f>
        <v>D</v>
      </c>
      <c r="BQ246" s="20" t="str">
        <f ca="1">OFFSET(Tab.Uncertainty.Levels!$A$1,MATCH(BQ$88,Tab.Uncertainty.Levels!$A:$A,0)-1,MATCH(BQ$87&amp;"_"&amp;BP246,Tab.Uncertainty.Levels!$1:$1,0)-1)</f>
        <v>Insulation available; no information about material</v>
      </c>
      <c r="BR246" s="97">
        <f ca="1">OFFSET(Tab.Uncertainty.Levels!$A$1,MATCH(BR$88,Tab.Uncertainty.Levels!$A:$A,0)-1,MATCH(BR$87&amp;"_"&amp;BP246,Tab.Uncertainty.Levels!$1:$1,0)-1)</f>
        <v>0.2</v>
      </c>
      <c r="BS246" s="32" t="str">
        <f>IF(L246="NoDataSource","D",IF(IFERROR(IF($T246="",#N/A,$T246),0)=0,IF(OR(IFERROR(IF($S246="",#N/A,$S246),0)&gt;0,$R246="Refurbish"),"D","E"),IF($L246="DesignDataPlusQA","A",IF($L246="DesignData","B","C"))))</f>
        <v>A</v>
      </c>
      <c r="BT246" s="20" t="str">
        <f ca="1">OFFSET(Tab.Uncertainty.Levels!$A$1,MATCH(BT$88,Tab.Uncertainty.Levels!$A:$A,0)-1,MATCH(BT$87&amp;"_"&amp;BS246,Tab.Uncertainty.Levels!$1:$1,0)-1)</f>
        <v>Insulation fraction from design data, quality assured</v>
      </c>
      <c r="BU246" s="33">
        <f ca="1">OFFSET(Tab.Uncertainty.Levels!$A$1,MATCH(BU$88,Tab.Uncertainty.Levels!$A:$A,0)-1,MATCH(BU$87&amp;"_"&amp;BS246,Tab.Uncertainty.Levels!$1:$1,0)-1)</f>
        <v>0.05</v>
      </c>
      <c r="BV246" s="13">
        <f ca="1">IFERROR(MIN(BU246/AW246,1,(1-AW246)/AW246),0)</f>
        <v>0.1</v>
      </c>
      <c r="BW246" s="96">
        <f ca="1">ABS(1+(AW246*(1/(1+AN246/100/AP246*AG246)^2-1)))*BJ246*$AG246</f>
        <v>0.186881807683905</v>
      </c>
      <c r="BX246" s="96">
        <f ca="1">ABS(-AG246+1/(1/AG246+AN246/100/AP246))*BV246*AW246</f>
        <v>4.8268156424581002E-2</v>
      </c>
      <c r="BY246" s="96">
        <f ca="1">ABS(-AW246*AP246/((AP246/AG246+AN246/100)^2))*(BO246*AN246/100)</f>
        <v>3.9324615336599981E-3</v>
      </c>
      <c r="BZ246" s="202">
        <f ca="1">ABS(AW246*AN246/100/(1/AG246*AP246+AN246/100)^2)*(BR246*AP246)</f>
        <v>1.8875815361567995E-2</v>
      </c>
      <c r="CA246" s="103">
        <f t="shared" ca="1" si="198"/>
        <v>0.19397521910571358</v>
      </c>
      <c r="CB246" s="37">
        <f t="shared" ca="1" si="219"/>
        <v>0.26052837675559964</v>
      </c>
      <c r="CC246" s="37">
        <f t="shared" ca="1" si="220"/>
        <v>6.7289719626168212E-2</v>
      </c>
      <c r="CD246" s="37">
        <f t="shared" ca="1" si="221"/>
        <v>5.4821698950556046E-3</v>
      </c>
      <c r="CE246" s="37">
        <f t="shared" ca="1" si="222"/>
        <v>2.6314415496266907E-2</v>
      </c>
      <c r="CF246" s="13">
        <f t="shared" ca="1" si="223"/>
        <v>0.27041716682182815</v>
      </c>
      <c r="CG246" s="101">
        <f ca="1">AG246</f>
        <v>1.2</v>
      </c>
      <c r="CH246" s="101">
        <f>AW246</f>
        <v>0.5</v>
      </c>
      <c r="CI246" s="203">
        <f>IF(CH246&gt;0,AN246,0)</f>
        <v>12</v>
      </c>
      <c r="CJ246" s="102">
        <f ca="1">IF(AND(CH246&gt;0,CI246&gt;0),AP246,0)</f>
        <v>3.5000000000000003E-2</v>
      </c>
      <c r="CK246" s="102">
        <f ca="1">BB246</f>
        <v>0.71731843575418996</v>
      </c>
      <c r="CL246" s="37">
        <f t="shared" ca="1" si="199"/>
        <v>0.3</v>
      </c>
      <c r="CM246" s="37">
        <f t="shared" ca="1" si="200"/>
        <v>0.1</v>
      </c>
      <c r="CN246" s="37">
        <f t="shared" ca="1" si="201"/>
        <v>4.1666666666666664E-2</v>
      </c>
      <c r="CO246" s="37">
        <f t="shared" ca="1" si="202"/>
        <v>0.2</v>
      </c>
      <c r="CP246" s="37">
        <f t="shared" ca="1" si="203"/>
        <v>0.27041716682182815</v>
      </c>
      <c r="CQ246" s="95">
        <f t="shared" ca="1" si="204"/>
        <v>0.36</v>
      </c>
      <c r="CR246" s="95">
        <f t="shared" ca="1" si="205"/>
        <v>0.05</v>
      </c>
      <c r="CS246" s="95">
        <f t="shared" ca="1" si="206"/>
        <v>0.5</v>
      </c>
      <c r="CT246" s="103">
        <f t="shared" ca="1" si="207"/>
        <v>7.000000000000001E-3</v>
      </c>
      <c r="CU246" s="95">
        <f t="shared" ca="1" si="208"/>
        <v>0.19397521910571361</v>
      </c>
      <c r="CV246" s="37">
        <f ca="1">$CB246^2/$CF246^2</f>
        <v>0.92819997087471851</v>
      </c>
      <c r="CW246" s="37">
        <f ca="1">$CD246^2/$CF246^2</f>
        <v>4.1099492964781698E-4</v>
      </c>
      <c r="CX246" s="37">
        <f ca="1">$CE246^2/$CF246^2</f>
        <v>9.469323179085708E-3</v>
      </c>
      <c r="CY246" s="37">
        <f ca="1">$CC246^2/$CF246^2</f>
        <v>6.1919711016547953E-2</v>
      </c>
      <c r="DA246" s="98" t="s">
        <v>214</v>
      </c>
      <c r="DB246" s="36">
        <f ca="1">OFFSET($A$1,ROW(DB246)-1,MATCH(DA246,$1:$1,0)-1)</f>
        <v>12</v>
      </c>
      <c r="DC246" s="9">
        <f ca="1">BB246</f>
        <v>0.71731843575418996</v>
      </c>
      <c r="DD246" s="9">
        <f ca="1">$DC246+$CA246</f>
        <v>0.91129365485990355</v>
      </c>
      <c r="DE246" s="9">
        <f ca="1">$DC246-$CA246</f>
        <v>0.52334321664847638</v>
      </c>
      <c r="DF246" s="10">
        <f t="shared" ca="1" si="181"/>
        <v>0.27041716682182809</v>
      </c>
    </row>
    <row r="247" spans="1:110" s="8" customFormat="1" ht="32.4" customHeight="1">
      <c r="A247" s="206" t="s">
        <v>683</v>
      </c>
      <c r="B247" s="208" t="s">
        <v>2346</v>
      </c>
      <c r="C247" s="206" t="str">
        <f t="shared" si="186"/>
        <v>Parameter-Variation: Code_DataSources = DesignData</v>
      </c>
      <c r="D247" s="206"/>
      <c r="E247" s="206" t="s">
        <v>202</v>
      </c>
      <c r="F247" s="206" t="str">
        <f t="shared" ref="F247:F249" si="228">L247</f>
        <v>DesignData</v>
      </c>
      <c r="G247" s="206" t="s">
        <v>2170</v>
      </c>
      <c r="H247" s="206" t="s">
        <v>2171</v>
      </c>
      <c r="I247" s="156" t="s">
        <v>80</v>
      </c>
      <c r="J247" s="156" t="s">
        <v>134</v>
      </c>
      <c r="K247" s="156" t="s">
        <v>155</v>
      </c>
      <c r="L247" s="156" t="s">
        <v>67</v>
      </c>
      <c r="M247" s="156" t="s">
        <v>188</v>
      </c>
      <c r="N247" s="7">
        <v>1960</v>
      </c>
      <c r="O247" s="156">
        <v>1</v>
      </c>
      <c r="P247" s="156">
        <v>0</v>
      </c>
      <c r="Q247" s="156" t="s">
        <v>435</v>
      </c>
      <c r="R247" s="156" t="s">
        <v>58</v>
      </c>
      <c r="S247" s="19">
        <v>12</v>
      </c>
      <c r="T247" s="19">
        <v>0.5</v>
      </c>
      <c r="U247" s="19">
        <v>2016</v>
      </c>
      <c r="V247" s="19" t="e">
        <v>#N/A</v>
      </c>
      <c r="W247" s="28" t="s">
        <v>59</v>
      </c>
      <c r="X247" s="19" t="e">
        <v>#N/A</v>
      </c>
      <c r="Y247" s="105">
        <f ca="1">IFERROR(OFFSET(Tab.Const.ConstrBorder!$A$1,MATCH(Q247,Tab.Const.ConstrBorder!$A:$A,0)-1,MATCH(Y$87,Tab.Const.ConstrBorder!$1:$1,0)-1),0)</f>
        <v>0</v>
      </c>
      <c r="Z247" s="18">
        <f t="shared" si="188"/>
        <v>1960</v>
      </c>
      <c r="AA247" s="17">
        <f>MATCH(Z247,Tab.Year.Period!$11:$11,1)-3</f>
        <v>5</v>
      </c>
      <c r="AB247" s="17">
        <f>MATCH(AB$88&amp;"."&amp;TEXT(AA247,"00"),Tab.U.Default!$A:$A,0)</f>
        <v>28</v>
      </c>
      <c r="AC247" s="105">
        <f ca="1">OFFSET(Tab.U.Default!$A$1,$AB247-1,MATCH("U_Class_"&amp;IF($J247="TopCeiling","UpperCeiling",$J247)&amp;"_"&amp;AC$87,Tab.U.Default!$1:$1,0)-1)</f>
        <v>1.2</v>
      </c>
      <c r="AD247" s="105">
        <f ca="1">OFFSET(Tab.U.Default!$A$1,$AB247-1,MATCH("U_Class_"&amp;IF($J247="TopCeiling","UpperCeiling",$J247)&amp;"_"&amp;AD$87,Tab.U.Default!$1:$1,0)-1)</f>
        <v>1.2</v>
      </c>
      <c r="AE247" s="105">
        <f ca="1">OFFSET(Tab.U.Default!$A$1,$AB247-1,MATCH("U_Class_"&amp;IF($J247="TopCeiling","UpperCeiling",$J247)&amp;"_"&amp;AE$87,Tab.U.Default!$1:$1,0)-1)</f>
        <v>0.8</v>
      </c>
      <c r="AF247" s="26">
        <f t="shared" ca="1" si="189"/>
        <v>1.2</v>
      </c>
      <c r="AG247" s="26">
        <f t="shared" ca="1" si="190"/>
        <v>1.2</v>
      </c>
      <c r="AH247" s="18" t="str">
        <f t="shared" si="211"/>
        <v>Refurbish</v>
      </c>
      <c r="AI247" s="18" t="str">
        <f t="shared" si="191"/>
        <v>Add</v>
      </c>
      <c r="AJ247" s="18">
        <f t="shared" si="192"/>
        <v>2016</v>
      </c>
      <c r="AK247" s="17">
        <f>MATCH(AJ247,Tab.Year.Period!$11:$11,1)-3</f>
        <v>12</v>
      </c>
      <c r="AL247" s="17">
        <f>MATCH(AL$88&amp;"."&amp;TEXT(AK247,"00"),Tab.Insulation.Default!$A:$A,0)</f>
        <v>23</v>
      </c>
      <c r="AM247" s="20" t="e">
        <f ca="1">IF(ISNA(IF(S247="",#N/A,S247)),OFFSET(Tab.Insulation.Default!$A$1,$AL247-1,MATCH(AM$87&amp;"_"&amp;$K247,Tab.Insulation.Default!$1:$1,0)-1),#N/A)</f>
        <v>#N/A</v>
      </c>
      <c r="AN247" s="27">
        <f t="shared" si="193"/>
        <v>12</v>
      </c>
      <c r="AO247" s="22">
        <f ca="1">IF(ISNA(IF(V247="",#N/A,V247)),OFFSET(Tab.Insulation.Default!$A$1,$AL247-1,MATCH(AO$87&amp;"_"&amp;$K247,Tab.Insulation.Default!$1:$1,0)-1),#N/A)</f>
        <v>3.5000000000000003E-2</v>
      </c>
      <c r="AP247" s="23">
        <f t="shared" ca="1" si="194"/>
        <v>3.5000000000000003E-2</v>
      </c>
      <c r="AQ247" s="29" t="str">
        <f t="shared" si="212"/>
        <v>Gen.Refurbished.12</v>
      </c>
      <c r="AR247" s="17">
        <f>MATCH(AR$88&amp;"."&amp;AQ247,Tab.Measure.f.Default!$A:$A,0)</f>
        <v>23</v>
      </c>
      <c r="AS247" s="21">
        <f ca="1">OFFSET(Tab.Measure.f.Default!$A$1,AR247-1,MATCH(AS$87&amp;"_"&amp;$J247,Tab.Measure.f.Default!$1:$1,0)-1)</f>
        <v>0.75</v>
      </c>
      <c r="AT247" s="29" t="str">
        <f t="shared" si="213"/>
        <v>MUH.NA.05</v>
      </c>
      <c r="AU247" s="17">
        <f>MATCH(AU$88&amp;"."&amp;AT247,Tab.Measure.f.Default!$A:$A,0)</f>
        <v>40</v>
      </c>
      <c r="AV247" s="21">
        <f ca="1">OFFSET(Tab.Measure.f.Default!$A$1,AU247-1,MATCH(AV$87&amp;"_"&amp;$J247,Tab.Measure.f.Default!$1:$1,0)-1)</f>
        <v>0.37</v>
      </c>
      <c r="AW247" s="30">
        <f t="shared" si="195"/>
        <v>0.5</v>
      </c>
      <c r="AX247" s="9">
        <f t="shared" ca="1" si="214"/>
        <v>0.83333333333333337</v>
      </c>
      <c r="AY247" s="9">
        <f t="shared" ca="1" si="215"/>
        <v>3.4285714285714279</v>
      </c>
      <c r="AZ247" s="9">
        <f t="shared" ca="1" si="196"/>
        <v>4.261904761904761</v>
      </c>
      <c r="BA247" s="9">
        <f t="shared" ca="1" si="197"/>
        <v>0.23463687150837995</v>
      </c>
      <c r="BB247" s="9">
        <f t="shared" ca="1" si="216"/>
        <v>0.71731843575418996</v>
      </c>
      <c r="BC247" s="32" t="str">
        <f t="shared" si="217"/>
        <v>D</v>
      </c>
      <c r="BD247" s="20" t="str">
        <f ca="1">OFFSET(Tab.Uncertainty.Levels!$A$1,MATCH(BD$88,Tab.Uncertainty.Levels!$A:$A,0)-1,MATCH(BD$87&amp;"_"&amp;BC247,Tab.Uncertainty.Levels!$1:$1,0)-1)</f>
        <v>Use of default values; building constructed until 1983</v>
      </c>
      <c r="BE247" s="24">
        <f ca="1">OFFSET(Tab.Uncertainty.Levels!$A$1,MATCH(BE$88,Tab.Uncertainty.Levels!$A:$A,0)-1,MATCH(BE$87&amp;"_"&amp;BC247,Tab.Uncertainty.Levels!$1:$1,0)-1)</f>
        <v>0.3</v>
      </c>
      <c r="BF247" s="32" t="str">
        <f t="shared" si="218"/>
        <v>-</v>
      </c>
      <c r="BG247" s="20" t="e">
        <f ca="1">OFFSET(Tab.Uncertainty.Levels!$A$1,MATCH(BG$88,Tab.Uncertainty.Levels!$A:$A,0)-1,MATCH(BG$87&amp;"_"&amp;BF247,Tab.Uncertainty.Levels!$1:$1,0)-1)</f>
        <v>#N/A</v>
      </c>
      <c r="BH247" s="24" t="e">
        <f ca="1">OFFSET(Tab.Uncertainty.Levels!$A$1,MATCH(BH$88,Tab.Uncertainty.Levels!$A:$A,0)-1,MATCH(BH$87&amp;"_"&amp;BF247,Tab.Uncertainty.Levels!$1:$1,0)-1)</f>
        <v>#N/A</v>
      </c>
      <c r="BI247" s="32" t="str">
        <f t="shared" si="224"/>
        <v>D</v>
      </c>
      <c r="BJ247" s="13">
        <f ca="1">IF(BF247="-",BE247,BH247)</f>
        <v>0.3</v>
      </c>
      <c r="BK247" s="32" t="str">
        <f>IF(OR($L247="NoDataSource",IFERROR(IF($S247="",#N/A,$S247),0)=0),IF(IFERROR(IF(U247="",#N/A,U247),0)=0,"E","D"),IF($L247="DesignDataPlusQA","A",IF($L247="DesignData","B","C")))</f>
        <v>B</v>
      </c>
      <c r="BL247" s="20" t="str">
        <f ca="1">OFFSET(Tab.Uncertainty.Levels!$A$1,MATCH(BL$88,Tab.Uncertainty.Levels!$A:$A,0)-1,MATCH(BL$87&amp;"_"&amp;BK247,Tab.Uncertainty.Levels!$1:$1,0)-1)</f>
        <v>Insulation thickness from design data</v>
      </c>
      <c r="BM247" s="24">
        <f ca="1">OFFSET(Tab.Uncertainty.Levels!$A$1,MATCH(BM$88,Tab.Uncertainty.Levels!$A:$A,0)-1,MATCH(BM$87&amp;"_"&amp;BK247,Tab.Uncertainty.Levels!$1:$1,0)-1)</f>
        <v>0.1</v>
      </c>
      <c r="BN247" s="34">
        <f ca="1">OFFSET(Tab.Uncertainty.Levels!$A$1,MATCH(BN$88,Tab.Uncertainty.Levels!$A:$A,0)-1,MATCH(BN$87&amp;"_"&amp;BK247,Tab.Uncertainty.Levels!$1:$1,0)-1)</f>
        <v>1</v>
      </c>
      <c r="BO247" s="13">
        <f ca="1">IFERROR(MIN(BM247,BN247/AN247),0)</f>
        <v>8.3333333333333329E-2</v>
      </c>
      <c r="BP247" s="32" t="str">
        <f>IF(OR($L247="NoDataSource",IFERROR(IF($V247="",#N/A,$V247),0)=0),IF(IFERROR(IF(U247="",#N/A,U247),0)=0,"E","D"),IF($L247="DesignDataPlusQA","A",IF($L247="DesignData","B","C")))</f>
        <v>D</v>
      </c>
      <c r="BQ247" s="20" t="str">
        <f ca="1">OFFSET(Tab.Uncertainty.Levels!$A$1,MATCH(BQ$88,Tab.Uncertainty.Levels!$A:$A,0)-1,MATCH(BQ$87&amp;"_"&amp;BP247,Tab.Uncertainty.Levels!$1:$1,0)-1)</f>
        <v>Insulation available; no information about material</v>
      </c>
      <c r="BR247" s="97">
        <f ca="1">OFFSET(Tab.Uncertainty.Levels!$A$1,MATCH(BR$88,Tab.Uncertainty.Levels!$A:$A,0)-1,MATCH(BR$87&amp;"_"&amp;BP247,Tab.Uncertainty.Levels!$1:$1,0)-1)</f>
        <v>0.2</v>
      </c>
      <c r="BS247" s="32" t="str">
        <f>IF(L247="NoDataSource","D",IF(IFERROR(IF($T247="",#N/A,$T247),0)=0,IF(OR(IFERROR(IF($S247="",#N/A,$S247),0)&gt;0,$R247="Refurbish"),"D","E"),IF($L247="DesignDataPlusQA","A",IF($L247="DesignData","B","C"))))</f>
        <v>B</v>
      </c>
      <c r="BT247" s="20" t="str">
        <f ca="1">OFFSET(Tab.Uncertainty.Levels!$A$1,MATCH(BT$88,Tab.Uncertainty.Levels!$A:$A,0)-1,MATCH(BT$87&amp;"_"&amp;BS247,Tab.Uncertainty.Levels!$1:$1,0)-1)</f>
        <v>Insulation fraction from design data</v>
      </c>
      <c r="BU247" s="33">
        <f ca="1">OFFSET(Tab.Uncertainty.Levels!$A$1,MATCH(BU$88,Tab.Uncertainty.Levels!$A:$A,0)-1,MATCH(BU$87&amp;"_"&amp;BS247,Tab.Uncertainty.Levels!$1:$1,0)-1)</f>
        <v>0.1</v>
      </c>
      <c r="BV247" s="13">
        <f ca="1">IFERROR(MIN(BU247/AW247,1,(1-AW247)/AW247),0)</f>
        <v>0.2</v>
      </c>
      <c r="BW247" s="96">
        <f ca="1">ABS(1+(AW247*(1/(1+AN247/100/AP247*AG247)^2-1)))*BJ247*$AG247</f>
        <v>0.186881807683905</v>
      </c>
      <c r="BX247" s="96">
        <f ca="1">ABS(-AG247+1/(1/AG247+AN247/100/AP247))*BV247*AW247</f>
        <v>9.6536312849162004E-2</v>
      </c>
      <c r="BY247" s="96">
        <f ca="1">ABS(-AW247*AP247/((AP247/AG247+AN247/100)^2))*(BO247*AN247/100)</f>
        <v>7.8649230673199962E-3</v>
      </c>
      <c r="BZ247" s="202">
        <f ca="1">ABS(AW247*AN247/100/(1/AG247*AP247+AN247/100)^2)*(BR247*AP247)</f>
        <v>1.8875815361567995E-2</v>
      </c>
      <c r="CA247" s="103">
        <f t="shared" ca="1" si="198"/>
        <v>0.21133438707918359</v>
      </c>
      <c r="CB247" s="37">
        <f t="shared" ca="1" si="219"/>
        <v>0.26052837675559964</v>
      </c>
      <c r="CC247" s="37">
        <f t="shared" ca="1" si="220"/>
        <v>0.13457943925233642</v>
      </c>
      <c r="CD247" s="37">
        <f t="shared" ca="1" si="221"/>
        <v>1.0964339790111209E-2</v>
      </c>
      <c r="CE247" s="37">
        <f t="shared" ca="1" si="222"/>
        <v>2.6314415496266907E-2</v>
      </c>
      <c r="CF247" s="13">
        <f t="shared" ca="1" si="223"/>
        <v>0.29461725301537278</v>
      </c>
      <c r="CG247" s="101">
        <f ca="1">AG247</f>
        <v>1.2</v>
      </c>
      <c r="CH247" s="101">
        <f>AW247</f>
        <v>0.5</v>
      </c>
      <c r="CI247" s="203">
        <f>IF(CH247&gt;0,AN247,0)</f>
        <v>12</v>
      </c>
      <c r="CJ247" s="102">
        <f ca="1">IF(AND(CH247&gt;0,CI247&gt;0),AP247,0)</f>
        <v>3.5000000000000003E-2</v>
      </c>
      <c r="CK247" s="102">
        <f ca="1">BB247</f>
        <v>0.71731843575418996</v>
      </c>
      <c r="CL247" s="37">
        <f t="shared" ca="1" si="199"/>
        <v>0.3</v>
      </c>
      <c r="CM247" s="37">
        <f t="shared" ca="1" si="200"/>
        <v>0.2</v>
      </c>
      <c r="CN247" s="37">
        <f t="shared" ca="1" si="201"/>
        <v>8.3333333333333329E-2</v>
      </c>
      <c r="CO247" s="37">
        <f t="shared" ca="1" si="202"/>
        <v>0.2</v>
      </c>
      <c r="CP247" s="37">
        <f t="shared" ca="1" si="203"/>
        <v>0.29461725301537278</v>
      </c>
      <c r="CQ247" s="95">
        <f t="shared" ca="1" si="204"/>
        <v>0.36</v>
      </c>
      <c r="CR247" s="95">
        <f t="shared" ca="1" si="205"/>
        <v>0.1</v>
      </c>
      <c r="CS247" s="95">
        <f t="shared" ca="1" si="206"/>
        <v>1</v>
      </c>
      <c r="CT247" s="103">
        <f t="shared" ca="1" si="207"/>
        <v>7.000000000000001E-3</v>
      </c>
      <c r="CU247" s="95">
        <f t="shared" ca="1" si="208"/>
        <v>0.21133438707918362</v>
      </c>
      <c r="CV247" s="37">
        <f ca="1">$CB247^2/$CF247^2</f>
        <v>0.78197652446495802</v>
      </c>
      <c r="CW247" s="37">
        <f ca="1">$CD247^2/$CF247^2</f>
        <v>1.3849963229619557E-3</v>
      </c>
      <c r="CX247" s="37">
        <f ca="1">$CE247^2/$CF247^2</f>
        <v>7.9775788202608687E-3</v>
      </c>
      <c r="CY247" s="37">
        <f ca="1">$CC247^2/$CF247^2</f>
        <v>0.20866090039181903</v>
      </c>
      <c r="DA247" s="98" t="s">
        <v>214</v>
      </c>
      <c r="DB247" s="36">
        <f ca="1">OFFSET($A$1,ROW(DB247)-1,MATCH(DA247,$1:$1,0)-1)</f>
        <v>12</v>
      </c>
      <c r="DC247" s="9">
        <f ca="1">BB247</f>
        <v>0.71731843575418996</v>
      </c>
      <c r="DD247" s="9">
        <f ca="1">$DC247+$CA247</f>
        <v>0.92865282283337358</v>
      </c>
      <c r="DE247" s="9">
        <f ca="1">$DC247-$CA247</f>
        <v>0.50598404867500635</v>
      </c>
      <c r="DF247" s="10">
        <f t="shared" ca="1" si="181"/>
        <v>0.29461725301537278</v>
      </c>
    </row>
    <row r="248" spans="1:110" s="8" customFormat="1" ht="32.4" customHeight="1">
      <c r="A248" s="206" t="s">
        <v>684</v>
      </c>
      <c r="B248" s="208" t="s">
        <v>2346</v>
      </c>
      <c r="C248" s="206" t="str">
        <f t="shared" si="186"/>
        <v>Parameter-Variation: Code_DataSources = InspectionOnsite</v>
      </c>
      <c r="D248" s="206"/>
      <c r="E248" s="206" t="s">
        <v>202</v>
      </c>
      <c r="F248" s="206" t="str">
        <f t="shared" si="228"/>
        <v>InspectionOnsite</v>
      </c>
      <c r="G248" s="206" t="s">
        <v>2170</v>
      </c>
      <c r="H248" s="206" t="s">
        <v>2171</v>
      </c>
      <c r="I248" s="156" t="s">
        <v>80</v>
      </c>
      <c r="J248" s="156" t="s">
        <v>134</v>
      </c>
      <c r="K248" s="156" t="s">
        <v>155</v>
      </c>
      <c r="L248" s="156" t="s">
        <v>66</v>
      </c>
      <c r="M248" s="156" t="s">
        <v>188</v>
      </c>
      <c r="N248" s="7">
        <v>1960</v>
      </c>
      <c r="O248" s="156">
        <v>1</v>
      </c>
      <c r="P248" s="156">
        <v>0</v>
      </c>
      <c r="Q248" s="156" t="s">
        <v>435</v>
      </c>
      <c r="R248" s="156" t="s">
        <v>58</v>
      </c>
      <c r="S248" s="19">
        <v>12</v>
      </c>
      <c r="T248" s="19">
        <v>0.5</v>
      </c>
      <c r="U248" s="19">
        <v>2016</v>
      </c>
      <c r="V248" s="19" t="e">
        <v>#N/A</v>
      </c>
      <c r="W248" s="28" t="s">
        <v>59</v>
      </c>
      <c r="X248" s="19" t="e">
        <v>#N/A</v>
      </c>
      <c r="Y248" s="105">
        <f ca="1">IFERROR(OFFSET(Tab.Const.ConstrBorder!$A$1,MATCH(Q248,Tab.Const.ConstrBorder!$A:$A,0)-1,MATCH(Y$87,Tab.Const.ConstrBorder!$1:$1,0)-1),0)</f>
        <v>0</v>
      </c>
      <c r="Z248" s="18">
        <f t="shared" si="188"/>
        <v>1960</v>
      </c>
      <c r="AA248" s="17">
        <f>MATCH(Z248,Tab.Year.Period!$11:$11,1)-3</f>
        <v>5</v>
      </c>
      <c r="AB248" s="17">
        <f>MATCH(AB$88&amp;"."&amp;TEXT(AA248,"00"),Tab.U.Default!$A:$A,0)</f>
        <v>28</v>
      </c>
      <c r="AC248" s="105">
        <f ca="1">OFFSET(Tab.U.Default!$A$1,$AB248-1,MATCH("U_Class_"&amp;IF($J248="TopCeiling","UpperCeiling",$J248)&amp;"_"&amp;AC$87,Tab.U.Default!$1:$1,0)-1)</f>
        <v>1.2</v>
      </c>
      <c r="AD248" s="105">
        <f ca="1">OFFSET(Tab.U.Default!$A$1,$AB248-1,MATCH("U_Class_"&amp;IF($J248="TopCeiling","UpperCeiling",$J248)&amp;"_"&amp;AD$87,Tab.U.Default!$1:$1,0)-1)</f>
        <v>1.2</v>
      </c>
      <c r="AE248" s="105">
        <f ca="1">OFFSET(Tab.U.Default!$A$1,$AB248-1,MATCH("U_Class_"&amp;IF($J248="TopCeiling","UpperCeiling",$J248)&amp;"_"&amp;AE$87,Tab.U.Default!$1:$1,0)-1)</f>
        <v>0.8</v>
      </c>
      <c r="AF248" s="26">
        <f t="shared" ca="1" si="189"/>
        <v>1.2</v>
      </c>
      <c r="AG248" s="26">
        <f t="shared" ref="AG248:AG264" ca="1" si="229">1/(1/AF248+Y248)</f>
        <v>1.2</v>
      </c>
      <c r="AH248" s="18" t="str">
        <f t="shared" si="211"/>
        <v>Refurbish</v>
      </c>
      <c r="AI248" s="18" t="str">
        <f t="shared" si="191"/>
        <v>Add</v>
      </c>
      <c r="AJ248" s="18">
        <f t="shared" si="192"/>
        <v>2016</v>
      </c>
      <c r="AK248" s="17">
        <f>MATCH(AJ248,Tab.Year.Period!$11:$11,1)-3</f>
        <v>12</v>
      </c>
      <c r="AL248" s="17">
        <f>MATCH(AL$88&amp;"."&amp;TEXT(AK248,"00"),Tab.Insulation.Default!$A:$A,0)</f>
        <v>23</v>
      </c>
      <c r="AM248" s="20" t="e">
        <f ca="1">IF(ISNA(IF(S248="",#N/A,S248)),OFFSET(Tab.Insulation.Default!$A$1,$AL248-1,MATCH(AM$87&amp;"_"&amp;$K248,Tab.Insulation.Default!$1:$1,0)-1),#N/A)</f>
        <v>#N/A</v>
      </c>
      <c r="AN248" s="27">
        <f t="shared" si="193"/>
        <v>12</v>
      </c>
      <c r="AO248" s="22">
        <f ca="1">IF(ISNA(IF(V248="",#N/A,V248)),OFFSET(Tab.Insulation.Default!$A$1,$AL248-1,MATCH(AO$87&amp;"_"&amp;$K248,Tab.Insulation.Default!$1:$1,0)-1),#N/A)</f>
        <v>3.5000000000000003E-2</v>
      </c>
      <c r="AP248" s="23">
        <f t="shared" ca="1" si="194"/>
        <v>3.5000000000000003E-2</v>
      </c>
      <c r="AQ248" s="29" t="str">
        <f t="shared" si="212"/>
        <v>Gen.Refurbished.12</v>
      </c>
      <c r="AR248" s="17">
        <f>MATCH(AR$88&amp;"."&amp;AQ248,Tab.Measure.f.Default!$A:$A,0)</f>
        <v>23</v>
      </c>
      <c r="AS248" s="21">
        <f ca="1">OFFSET(Tab.Measure.f.Default!$A$1,AR248-1,MATCH(AS$87&amp;"_"&amp;$J248,Tab.Measure.f.Default!$1:$1,0)-1)</f>
        <v>0.75</v>
      </c>
      <c r="AT248" s="29" t="str">
        <f t="shared" si="213"/>
        <v>MUH.NA.05</v>
      </c>
      <c r="AU248" s="17">
        <f>MATCH(AU$88&amp;"."&amp;AT248,Tab.Measure.f.Default!$A:$A,0)</f>
        <v>40</v>
      </c>
      <c r="AV248" s="21">
        <f ca="1">OFFSET(Tab.Measure.f.Default!$A$1,AU248-1,MATCH(AV$87&amp;"_"&amp;$J248,Tab.Measure.f.Default!$1:$1,0)-1)</f>
        <v>0.37</v>
      </c>
      <c r="AW248" s="30">
        <f t="shared" si="195"/>
        <v>0.5</v>
      </c>
      <c r="AX248" s="9">
        <f t="shared" ca="1" si="214"/>
        <v>0.83333333333333337</v>
      </c>
      <c r="AY248" s="9">
        <f t="shared" ca="1" si="215"/>
        <v>3.4285714285714279</v>
      </c>
      <c r="AZ248" s="9">
        <f t="shared" ca="1" si="196"/>
        <v>4.261904761904761</v>
      </c>
      <c r="BA248" s="9">
        <f t="shared" ca="1" si="197"/>
        <v>0.23463687150837995</v>
      </c>
      <c r="BB248" s="9">
        <f t="shared" ca="1" si="216"/>
        <v>0.71731843575418996</v>
      </c>
      <c r="BC248" s="32" t="str">
        <f t="shared" si="217"/>
        <v>D</v>
      </c>
      <c r="BD248" s="20" t="str">
        <f ca="1">OFFSET(Tab.Uncertainty.Levels!$A$1,MATCH(BD$88,Tab.Uncertainty.Levels!$A:$A,0)-1,MATCH(BD$87&amp;"_"&amp;BC248,Tab.Uncertainty.Levels!$1:$1,0)-1)</f>
        <v>Use of default values; building constructed until 1983</v>
      </c>
      <c r="BE248" s="24">
        <f ca="1">OFFSET(Tab.Uncertainty.Levels!$A$1,MATCH(BE$88,Tab.Uncertainty.Levels!$A:$A,0)-1,MATCH(BE$87&amp;"_"&amp;BC248,Tab.Uncertainty.Levels!$1:$1,0)-1)</f>
        <v>0.3</v>
      </c>
      <c r="BF248" s="32" t="str">
        <f t="shared" si="218"/>
        <v>-</v>
      </c>
      <c r="BG248" s="20" t="e">
        <f ca="1">OFFSET(Tab.Uncertainty.Levels!$A$1,MATCH(BG$88,Tab.Uncertainty.Levels!$A:$A,0)-1,MATCH(BG$87&amp;"_"&amp;BF248,Tab.Uncertainty.Levels!$1:$1,0)-1)</f>
        <v>#N/A</v>
      </c>
      <c r="BH248" s="24" t="e">
        <f ca="1">OFFSET(Tab.Uncertainty.Levels!$A$1,MATCH(BH$88,Tab.Uncertainty.Levels!$A:$A,0)-1,MATCH(BH$87&amp;"_"&amp;BF248,Tab.Uncertainty.Levels!$1:$1,0)-1)</f>
        <v>#N/A</v>
      </c>
      <c r="BI248" s="32" t="str">
        <f t="shared" si="224"/>
        <v>D</v>
      </c>
      <c r="BJ248" s="13">
        <f ca="1">IF(BF248="-",BE248,BH248)</f>
        <v>0.3</v>
      </c>
      <c r="BK248" s="32" t="str">
        <f>IF(OR($L248="NoDataSource",IFERROR(IF($S248="",#N/A,$S248),0)=0),IF(IFERROR(IF(U248="",#N/A,U248),0)=0,"E","D"),IF($L248="DesignDataPlusQA","A",IF($L248="DesignData","B","C")))</f>
        <v>C</v>
      </c>
      <c r="BL248" s="20" t="str">
        <f ca="1">OFFSET(Tab.Uncertainty.Levels!$A$1,MATCH(BL$88,Tab.Uncertainty.Levels!$A:$A,0)-1,MATCH(BL$87&amp;"_"&amp;BK248,Tab.Uncertainty.Levels!$1:$1,0)-1)</f>
        <v>Insulation thickness determined by inspection onsite / record or statement of owner</v>
      </c>
      <c r="BM248" s="24">
        <f ca="1">OFFSET(Tab.Uncertainty.Levels!$A$1,MATCH(BM$88,Tab.Uncertainty.Levels!$A:$A,0)-1,MATCH(BM$87&amp;"_"&amp;BK248,Tab.Uncertainty.Levels!$1:$1,0)-1)</f>
        <v>0.25</v>
      </c>
      <c r="BN248" s="34">
        <f ca="1">OFFSET(Tab.Uncertainty.Levels!$A$1,MATCH(BN$88,Tab.Uncertainty.Levels!$A:$A,0)-1,MATCH(BN$87&amp;"_"&amp;BK248,Tab.Uncertainty.Levels!$1:$1,0)-1)</f>
        <v>2</v>
      </c>
      <c r="BO248" s="13">
        <f ca="1">IFERROR(MIN(BM248,BN248/AN248),0)</f>
        <v>0.16666666666666666</v>
      </c>
      <c r="BP248" s="32" t="str">
        <f>IF(OR($L248="NoDataSource",IFERROR(IF($V248="",#N/A,$V248),0)=0),IF(IFERROR(IF(U248="",#N/A,U248),0)=0,"E","D"),IF($L248="DesignDataPlusQA","A",IF($L248="DesignData","B","C")))</f>
        <v>D</v>
      </c>
      <c r="BQ248" s="20" t="str">
        <f ca="1">OFFSET(Tab.Uncertainty.Levels!$A$1,MATCH(BQ$88,Tab.Uncertainty.Levels!$A:$A,0)-1,MATCH(BQ$87&amp;"_"&amp;BP248,Tab.Uncertainty.Levels!$1:$1,0)-1)</f>
        <v>Insulation available; no information about material</v>
      </c>
      <c r="BR248" s="97">
        <f ca="1">OFFSET(Tab.Uncertainty.Levels!$A$1,MATCH(BR$88,Tab.Uncertainty.Levels!$A:$A,0)-1,MATCH(BR$87&amp;"_"&amp;BP248,Tab.Uncertainty.Levels!$1:$1,0)-1)</f>
        <v>0.2</v>
      </c>
      <c r="BS248" s="32" t="str">
        <f>IF(L248="NoDataSource","D",IF(IFERROR(IF($T248="",#N/A,$T248),0)=0,IF(OR(IFERROR(IF($S248="",#N/A,$S248),0)&gt;0,$R248="Refurbish"),"D","E"),IF($L248="DesignDataPlusQA","A",IF($L248="DesignData","B","C"))))</f>
        <v>C</v>
      </c>
      <c r="BT248" s="20" t="str">
        <f ca="1">OFFSET(Tab.Uncertainty.Levels!$A$1,MATCH(BT$88,Tab.Uncertainty.Levels!$A:$A,0)-1,MATCH(BT$87&amp;"_"&amp;BS248,Tab.Uncertainty.Levels!$1:$1,0)-1)</f>
        <v>Insulation fraction determined by inspection onsite / record or statement of owner</v>
      </c>
      <c r="BU248" s="33">
        <f ca="1">OFFSET(Tab.Uncertainty.Levels!$A$1,MATCH(BU$88,Tab.Uncertainty.Levels!$A:$A,0)-1,MATCH(BU$87&amp;"_"&amp;BS248,Tab.Uncertainty.Levels!$1:$1,0)-1)</f>
        <v>0.2</v>
      </c>
      <c r="BV248" s="13">
        <f ca="1">IFERROR(MIN(BU248/AW248,1,(1-AW248)/AW248),0)</f>
        <v>0.4</v>
      </c>
      <c r="BW248" s="96">
        <f ca="1">ABS(1+(AW248*(1/(1+AN248/100/AP248*AG248)^2-1)))*BJ248*$AG248</f>
        <v>0.186881807683905</v>
      </c>
      <c r="BX248" s="96">
        <f ca="1">ABS(-AG248+1/(1/AG248+AN248/100/AP248))*BV248*AW248</f>
        <v>0.19307262569832401</v>
      </c>
      <c r="BY248" s="96">
        <f ca="1">ABS(-AW248*AP248/((AP248/AG248+AN248/100)^2))*(BO248*AN248/100)</f>
        <v>1.5729846134639992E-2</v>
      </c>
      <c r="BZ248" s="202">
        <f ca="1">ABS(AW248*AN248/100/(1/AG248*AP248+AN248/100)^2)*(BR248*AP248)</f>
        <v>1.8875815361567995E-2</v>
      </c>
      <c r="CA248" s="103">
        <f t="shared" ca="1" si="198"/>
        <v>0.26982507908315828</v>
      </c>
      <c r="CB248" s="37">
        <f t="shared" ca="1" si="219"/>
        <v>0.26052837675559964</v>
      </c>
      <c r="CC248" s="37">
        <f t="shared" ca="1" si="220"/>
        <v>0.26915887850467285</v>
      </c>
      <c r="CD248" s="37">
        <f t="shared" ca="1" si="221"/>
        <v>2.1928679580222418E-2</v>
      </c>
      <c r="CE248" s="37">
        <f t="shared" ca="1" si="222"/>
        <v>2.6314415496266907E-2</v>
      </c>
      <c r="CF248" s="13">
        <f t="shared" ca="1" si="223"/>
        <v>0.37615801523275183</v>
      </c>
      <c r="CG248" s="101">
        <f ca="1">AG248</f>
        <v>1.2</v>
      </c>
      <c r="CH248" s="101">
        <f>AW248</f>
        <v>0.5</v>
      </c>
      <c r="CI248" s="203">
        <f>IF(CH248&gt;0,AN248,0)</f>
        <v>12</v>
      </c>
      <c r="CJ248" s="102">
        <f ca="1">IF(AND(CH248&gt;0,CI248&gt;0),AP248,0)</f>
        <v>3.5000000000000003E-2</v>
      </c>
      <c r="CK248" s="102">
        <f ca="1">BB248</f>
        <v>0.71731843575418996</v>
      </c>
      <c r="CL248" s="37">
        <f t="shared" ref="CL248:CL264" ca="1" si="230">BJ248</f>
        <v>0.3</v>
      </c>
      <c r="CM248" s="37">
        <f t="shared" ref="CM248:CM264" ca="1" si="231">BV248</f>
        <v>0.4</v>
      </c>
      <c r="CN248" s="37">
        <f t="shared" ref="CN248:CN264" ca="1" si="232">BO248</f>
        <v>0.16666666666666666</v>
      </c>
      <c r="CO248" s="37">
        <f t="shared" ref="CO248:CO264" ca="1" si="233">BR248</f>
        <v>0.2</v>
      </c>
      <c r="CP248" s="37">
        <f t="shared" ref="CP248:CP264" ca="1" si="234">CF248</f>
        <v>0.37615801523275183</v>
      </c>
      <c r="CQ248" s="95">
        <f t="shared" ref="CQ248:CQ264" ca="1" si="235">CG248*CL248</f>
        <v>0.36</v>
      </c>
      <c r="CR248" s="95">
        <f t="shared" ref="CR248:CR264" ca="1" si="236">CH248*CM248</f>
        <v>0.2</v>
      </c>
      <c r="CS248" s="95">
        <f t="shared" ref="CS248:CS264" ca="1" si="237">CI248*CN248</f>
        <v>2</v>
      </c>
      <c r="CT248" s="103">
        <f t="shared" ref="CT248:CT264" ca="1" si="238">CJ248*CO248</f>
        <v>7.000000000000001E-3</v>
      </c>
      <c r="CU248" s="95">
        <f t="shared" ref="CU248:CU264" ca="1" si="239">CK248*CP248</f>
        <v>0.26982507908315828</v>
      </c>
      <c r="CV248" s="37">
        <f ca="1">$CB248^2/$CF248^2</f>
        <v>0.47969967763625954</v>
      </c>
      <c r="CW248" s="37">
        <f ca="1">$CD248^2/$CF248^2</f>
        <v>3.3984769049522907E-3</v>
      </c>
      <c r="CX248" s="37">
        <f ca="1">$CE248^2/$CF248^2</f>
        <v>4.893806743131301E-3</v>
      </c>
      <c r="CY248" s="37">
        <f ca="1">$CC248^2/$CF248^2</f>
        <v>0.51200803871565681</v>
      </c>
      <c r="DA248" s="98" t="s">
        <v>214</v>
      </c>
      <c r="DB248" s="36">
        <f ca="1">OFFSET($A$1,ROW(DB248)-1,MATCH(DA248,$1:$1,0)-1)</f>
        <v>12</v>
      </c>
      <c r="DC248" s="9">
        <f ca="1">BB248</f>
        <v>0.71731843575418996</v>
      </c>
      <c r="DD248" s="9">
        <f ca="1">$DC248+$CA248</f>
        <v>0.98714351483734819</v>
      </c>
      <c r="DE248" s="9">
        <f ca="1">$DC248-$CA248</f>
        <v>0.44749335667103168</v>
      </c>
      <c r="DF248" s="10">
        <f t="shared" ca="1" si="181"/>
        <v>0.37615801523275172</v>
      </c>
    </row>
    <row r="249" spans="1:110" s="8" customFormat="1" ht="32.4" customHeight="1">
      <c r="A249" s="206" t="s">
        <v>685</v>
      </c>
      <c r="B249" s="208" t="s">
        <v>2346</v>
      </c>
      <c r="C249" s="206" t="str">
        <f t="shared" si="186"/>
        <v>Parameter-Variation: Code_DataSources = RecordsStatementOwner</v>
      </c>
      <c r="D249" s="206"/>
      <c r="E249" s="206" t="s">
        <v>202</v>
      </c>
      <c r="F249" s="206" t="str">
        <f t="shared" si="228"/>
        <v>RecordsStatementOwner</v>
      </c>
      <c r="G249" s="206" t="s">
        <v>2170</v>
      </c>
      <c r="H249" s="206" t="s">
        <v>2171</v>
      </c>
      <c r="I249" s="156" t="s">
        <v>80</v>
      </c>
      <c r="J249" s="156" t="s">
        <v>134</v>
      </c>
      <c r="K249" s="156" t="s">
        <v>155</v>
      </c>
      <c r="L249" s="156" t="s">
        <v>190</v>
      </c>
      <c r="M249" s="156" t="s">
        <v>188</v>
      </c>
      <c r="N249" s="7">
        <v>1960</v>
      </c>
      <c r="O249" s="156">
        <v>1</v>
      </c>
      <c r="P249" s="156">
        <v>0</v>
      </c>
      <c r="Q249" s="156" t="s">
        <v>435</v>
      </c>
      <c r="R249" s="156" t="s">
        <v>58</v>
      </c>
      <c r="S249" s="19">
        <v>12</v>
      </c>
      <c r="T249" s="19">
        <v>0.5</v>
      </c>
      <c r="U249" s="19">
        <v>2016</v>
      </c>
      <c r="V249" s="19" t="e">
        <v>#N/A</v>
      </c>
      <c r="W249" s="28" t="s">
        <v>59</v>
      </c>
      <c r="X249" s="19" t="e">
        <v>#N/A</v>
      </c>
      <c r="Y249" s="105">
        <f ca="1">IFERROR(OFFSET(Tab.Const.ConstrBorder!$A$1,MATCH(Q249,Tab.Const.ConstrBorder!$A:$A,0)-1,MATCH(Y$87,Tab.Const.ConstrBorder!$1:$1,0)-1),0)</f>
        <v>0</v>
      </c>
      <c r="Z249" s="18">
        <f t="shared" si="188"/>
        <v>1960</v>
      </c>
      <c r="AA249" s="17">
        <f>MATCH(Z249,Tab.Year.Period!$11:$11,1)-3</f>
        <v>5</v>
      </c>
      <c r="AB249" s="17">
        <f>MATCH(AB$88&amp;"."&amp;TEXT(AA249,"00"),Tab.U.Default!$A:$A,0)</f>
        <v>28</v>
      </c>
      <c r="AC249" s="105">
        <f ca="1">OFFSET(Tab.U.Default!$A$1,$AB249-1,MATCH("U_Class_"&amp;IF($J249="TopCeiling","UpperCeiling",$J249)&amp;"_"&amp;AC$87,Tab.U.Default!$1:$1,0)-1)</f>
        <v>1.2</v>
      </c>
      <c r="AD249" s="105">
        <f ca="1">OFFSET(Tab.U.Default!$A$1,$AB249-1,MATCH("U_Class_"&amp;IF($J249="TopCeiling","UpperCeiling",$J249)&amp;"_"&amp;AD$87,Tab.U.Default!$1:$1,0)-1)</f>
        <v>1.2</v>
      </c>
      <c r="AE249" s="105">
        <f ca="1">OFFSET(Tab.U.Default!$A$1,$AB249-1,MATCH("U_Class_"&amp;IF($J249="TopCeiling","UpperCeiling",$J249)&amp;"_"&amp;AE$87,Tab.U.Default!$1:$1,0)-1)</f>
        <v>0.8</v>
      </c>
      <c r="AF249" s="26">
        <f t="shared" ca="1" si="189"/>
        <v>1.2</v>
      </c>
      <c r="AG249" s="26">
        <f t="shared" ca="1" si="229"/>
        <v>1.2</v>
      </c>
      <c r="AH249" s="18" t="str">
        <f t="shared" si="211"/>
        <v>Refurbish</v>
      </c>
      <c r="AI249" s="18" t="str">
        <f t="shared" si="191"/>
        <v>Add</v>
      </c>
      <c r="AJ249" s="18">
        <f t="shared" si="192"/>
        <v>2016</v>
      </c>
      <c r="AK249" s="17">
        <f>MATCH(AJ249,Tab.Year.Period!$11:$11,1)-3</f>
        <v>12</v>
      </c>
      <c r="AL249" s="17">
        <f>MATCH(AL$88&amp;"."&amp;TEXT(AK249,"00"),Tab.Insulation.Default!$A:$A,0)</f>
        <v>23</v>
      </c>
      <c r="AM249" s="20" t="e">
        <f ca="1">IF(ISNA(IF(S249="",#N/A,S249)),OFFSET(Tab.Insulation.Default!$A$1,$AL249-1,MATCH(AM$87&amp;"_"&amp;$K249,Tab.Insulation.Default!$1:$1,0)-1),#N/A)</f>
        <v>#N/A</v>
      </c>
      <c r="AN249" s="27">
        <f t="shared" si="193"/>
        <v>12</v>
      </c>
      <c r="AO249" s="22">
        <f ca="1">IF(ISNA(IF(V249="",#N/A,V249)),OFFSET(Tab.Insulation.Default!$A$1,$AL249-1,MATCH(AO$87&amp;"_"&amp;$K249,Tab.Insulation.Default!$1:$1,0)-1),#N/A)</f>
        <v>3.5000000000000003E-2</v>
      </c>
      <c r="AP249" s="23">
        <f t="shared" ca="1" si="194"/>
        <v>3.5000000000000003E-2</v>
      </c>
      <c r="AQ249" s="29" t="str">
        <f t="shared" si="212"/>
        <v>Gen.Refurbished.12</v>
      </c>
      <c r="AR249" s="17">
        <f>MATCH(AR$88&amp;"."&amp;AQ249,Tab.Measure.f.Default!$A:$A,0)</f>
        <v>23</v>
      </c>
      <c r="AS249" s="21">
        <f ca="1">OFFSET(Tab.Measure.f.Default!$A$1,AR249-1,MATCH(AS$87&amp;"_"&amp;$J249,Tab.Measure.f.Default!$1:$1,0)-1)</f>
        <v>0.75</v>
      </c>
      <c r="AT249" s="29" t="str">
        <f t="shared" si="213"/>
        <v>MUH.NA.05</v>
      </c>
      <c r="AU249" s="17">
        <f>MATCH(AU$88&amp;"."&amp;AT249,Tab.Measure.f.Default!$A:$A,0)</f>
        <v>40</v>
      </c>
      <c r="AV249" s="21">
        <f ca="1">OFFSET(Tab.Measure.f.Default!$A$1,AU249-1,MATCH(AV$87&amp;"_"&amp;$J249,Tab.Measure.f.Default!$1:$1,0)-1)</f>
        <v>0.37</v>
      </c>
      <c r="AW249" s="30">
        <f t="shared" si="195"/>
        <v>0.5</v>
      </c>
      <c r="AX249" s="9">
        <f t="shared" ca="1" si="214"/>
        <v>0.83333333333333337</v>
      </c>
      <c r="AY249" s="9">
        <f t="shared" ca="1" si="215"/>
        <v>3.4285714285714279</v>
      </c>
      <c r="AZ249" s="9">
        <f t="shared" ca="1" si="196"/>
        <v>4.261904761904761</v>
      </c>
      <c r="BA249" s="9">
        <f t="shared" ca="1" si="197"/>
        <v>0.23463687150837995</v>
      </c>
      <c r="BB249" s="9">
        <f t="shared" ca="1" si="216"/>
        <v>0.71731843575418996</v>
      </c>
      <c r="BC249" s="32" t="str">
        <f t="shared" si="217"/>
        <v>D</v>
      </c>
      <c r="BD249" s="20" t="str">
        <f ca="1">OFFSET(Tab.Uncertainty.Levels!$A$1,MATCH(BD$88,Tab.Uncertainty.Levels!$A:$A,0)-1,MATCH(BD$87&amp;"_"&amp;BC249,Tab.Uncertainty.Levels!$1:$1,0)-1)</f>
        <v>Use of default values; building constructed until 1983</v>
      </c>
      <c r="BE249" s="24">
        <f ca="1">OFFSET(Tab.Uncertainty.Levels!$A$1,MATCH(BE$88,Tab.Uncertainty.Levels!$A:$A,0)-1,MATCH(BE$87&amp;"_"&amp;BC249,Tab.Uncertainty.Levels!$1:$1,0)-1)</f>
        <v>0.3</v>
      </c>
      <c r="BF249" s="32" t="str">
        <f t="shared" si="218"/>
        <v>-</v>
      </c>
      <c r="BG249" s="20" t="e">
        <f ca="1">OFFSET(Tab.Uncertainty.Levels!$A$1,MATCH(BG$88,Tab.Uncertainty.Levels!$A:$A,0)-1,MATCH(BG$87&amp;"_"&amp;BF249,Tab.Uncertainty.Levels!$1:$1,0)-1)</f>
        <v>#N/A</v>
      </c>
      <c r="BH249" s="24" t="e">
        <f ca="1">OFFSET(Tab.Uncertainty.Levels!$A$1,MATCH(BH$88,Tab.Uncertainty.Levels!$A:$A,0)-1,MATCH(BH$87&amp;"_"&amp;BF249,Tab.Uncertainty.Levels!$1:$1,0)-1)</f>
        <v>#N/A</v>
      </c>
      <c r="BI249" s="32" t="str">
        <f t="shared" si="224"/>
        <v>D</v>
      </c>
      <c r="BJ249" s="13">
        <f ca="1">IF(BF249="-",BE249,BH249)</f>
        <v>0.3</v>
      </c>
      <c r="BK249" s="32" t="str">
        <f>IF(OR($L249="NoDataSource",IFERROR(IF($S249="",#N/A,$S249),0)=0),IF(IFERROR(IF(U249="",#N/A,U249),0)=0,"E","D"),IF($L249="DesignDataPlusQA","A",IF($L249="DesignData","B","C")))</f>
        <v>C</v>
      </c>
      <c r="BL249" s="20" t="str">
        <f ca="1">OFFSET(Tab.Uncertainty.Levels!$A$1,MATCH(BL$88,Tab.Uncertainty.Levels!$A:$A,0)-1,MATCH(BL$87&amp;"_"&amp;BK249,Tab.Uncertainty.Levels!$1:$1,0)-1)</f>
        <v>Insulation thickness determined by inspection onsite / record or statement of owner</v>
      </c>
      <c r="BM249" s="24">
        <f ca="1">OFFSET(Tab.Uncertainty.Levels!$A$1,MATCH(BM$88,Tab.Uncertainty.Levels!$A:$A,0)-1,MATCH(BM$87&amp;"_"&amp;BK249,Tab.Uncertainty.Levels!$1:$1,0)-1)</f>
        <v>0.25</v>
      </c>
      <c r="BN249" s="34">
        <f ca="1">OFFSET(Tab.Uncertainty.Levels!$A$1,MATCH(BN$88,Tab.Uncertainty.Levels!$A:$A,0)-1,MATCH(BN$87&amp;"_"&amp;BK249,Tab.Uncertainty.Levels!$1:$1,0)-1)</f>
        <v>2</v>
      </c>
      <c r="BO249" s="13">
        <f ca="1">IFERROR(MIN(BM249,BN249/AN249),0)</f>
        <v>0.16666666666666666</v>
      </c>
      <c r="BP249" s="32" t="str">
        <f>IF(OR($L249="NoDataSource",IFERROR(IF($V249="",#N/A,$V249),0)=0),IF(IFERROR(IF(U249="",#N/A,U249),0)=0,"E","D"),IF($L249="DesignDataPlusQA","A",IF($L249="DesignData","B","C")))</f>
        <v>D</v>
      </c>
      <c r="BQ249" s="20" t="str">
        <f ca="1">OFFSET(Tab.Uncertainty.Levels!$A$1,MATCH(BQ$88,Tab.Uncertainty.Levels!$A:$A,0)-1,MATCH(BQ$87&amp;"_"&amp;BP249,Tab.Uncertainty.Levels!$1:$1,0)-1)</f>
        <v>Insulation available; no information about material</v>
      </c>
      <c r="BR249" s="97">
        <f ca="1">OFFSET(Tab.Uncertainty.Levels!$A$1,MATCH(BR$88,Tab.Uncertainty.Levels!$A:$A,0)-1,MATCH(BR$87&amp;"_"&amp;BP249,Tab.Uncertainty.Levels!$1:$1,0)-1)</f>
        <v>0.2</v>
      </c>
      <c r="BS249" s="32" t="str">
        <f>IF(L249="NoDataSource","D",IF(IFERROR(IF($T249="",#N/A,$T249),0)=0,IF(OR(IFERROR(IF($S249="",#N/A,$S249),0)&gt;0,$R249="Refurbish"),"D","E"),IF($L249="DesignDataPlusQA","A",IF($L249="DesignData","B","C"))))</f>
        <v>C</v>
      </c>
      <c r="BT249" s="20" t="str">
        <f ca="1">OFFSET(Tab.Uncertainty.Levels!$A$1,MATCH(BT$88,Tab.Uncertainty.Levels!$A:$A,0)-1,MATCH(BT$87&amp;"_"&amp;BS249,Tab.Uncertainty.Levels!$1:$1,0)-1)</f>
        <v>Insulation fraction determined by inspection onsite / record or statement of owner</v>
      </c>
      <c r="BU249" s="33">
        <f ca="1">OFFSET(Tab.Uncertainty.Levels!$A$1,MATCH(BU$88,Tab.Uncertainty.Levels!$A:$A,0)-1,MATCH(BU$87&amp;"_"&amp;BS249,Tab.Uncertainty.Levels!$1:$1,0)-1)</f>
        <v>0.2</v>
      </c>
      <c r="BV249" s="13">
        <f ca="1">IFERROR(MIN(BU249/AW249,1,(1-AW249)/AW249),0)</f>
        <v>0.4</v>
      </c>
      <c r="BW249" s="96">
        <f ca="1">ABS(1+(AW249*(1/(1+AN249/100/AP249*AG249)^2-1)))*BJ249*$AG249</f>
        <v>0.186881807683905</v>
      </c>
      <c r="BX249" s="96">
        <f ca="1">ABS(-AG249+1/(1/AG249+AN249/100/AP249))*BV249*AW249</f>
        <v>0.19307262569832401</v>
      </c>
      <c r="BY249" s="96">
        <f ca="1">ABS(-AW249*AP249/((AP249/AG249+AN249/100)^2))*(BO249*AN249/100)</f>
        <v>1.5729846134639992E-2</v>
      </c>
      <c r="BZ249" s="202">
        <f ca="1">ABS(AW249*AN249/100/(1/AG249*AP249+AN249/100)^2)*(BR249*AP249)</f>
        <v>1.8875815361567995E-2</v>
      </c>
      <c r="CA249" s="103">
        <f t="shared" ca="1" si="198"/>
        <v>0.26982507908315828</v>
      </c>
      <c r="CB249" s="37">
        <f t="shared" ca="1" si="219"/>
        <v>0.26052837675559964</v>
      </c>
      <c r="CC249" s="37">
        <f t="shared" ca="1" si="220"/>
        <v>0.26915887850467285</v>
      </c>
      <c r="CD249" s="37">
        <f t="shared" ca="1" si="221"/>
        <v>2.1928679580222418E-2</v>
      </c>
      <c r="CE249" s="37">
        <f t="shared" ca="1" si="222"/>
        <v>2.6314415496266907E-2</v>
      </c>
      <c r="CF249" s="13">
        <f t="shared" ca="1" si="223"/>
        <v>0.37615801523275183</v>
      </c>
      <c r="CG249" s="101">
        <f ca="1">AG249</f>
        <v>1.2</v>
      </c>
      <c r="CH249" s="101">
        <f>AW249</f>
        <v>0.5</v>
      </c>
      <c r="CI249" s="203">
        <f>IF(CH249&gt;0,AN249,0)</f>
        <v>12</v>
      </c>
      <c r="CJ249" s="102">
        <f ca="1">IF(AND(CH249&gt;0,CI249&gt;0),AP249,0)</f>
        <v>3.5000000000000003E-2</v>
      </c>
      <c r="CK249" s="102">
        <f ca="1">BB249</f>
        <v>0.71731843575418996</v>
      </c>
      <c r="CL249" s="37">
        <f t="shared" ca="1" si="230"/>
        <v>0.3</v>
      </c>
      <c r="CM249" s="37">
        <f t="shared" ca="1" si="231"/>
        <v>0.4</v>
      </c>
      <c r="CN249" s="37">
        <f t="shared" ca="1" si="232"/>
        <v>0.16666666666666666</v>
      </c>
      <c r="CO249" s="37">
        <f t="shared" ca="1" si="233"/>
        <v>0.2</v>
      </c>
      <c r="CP249" s="37">
        <f t="shared" ca="1" si="234"/>
        <v>0.37615801523275183</v>
      </c>
      <c r="CQ249" s="95">
        <f t="shared" ca="1" si="235"/>
        <v>0.36</v>
      </c>
      <c r="CR249" s="95">
        <f t="shared" ca="1" si="236"/>
        <v>0.2</v>
      </c>
      <c r="CS249" s="95">
        <f t="shared" ca="1" si="237"/>
        <v>2</v>
      </c>
      <c r="CT249" s="103">
        <f t="shared" ca="1" si="238"/>
        <v>7.000000000000001E-3</v>
      </c>
      <c r="CU249" s="95">
        <f t="shared" ca="1" si="239"/>
        <v>0.26982507908315828</v>
      </c>
      <c r="CV249" s="37">
        <f ca="1">$CB249^2/$CF249^2</f>
        <v>0.47969967763625954</v>
      </c>
      <c r="CW249" s="37">
        <f ca="1">$CD249^2/$CF249^2</f>
        <v>3.3984769049522907E-3</v>
      </c>
      <c r="CX249" s="37">
        <f ca="1">$CE249^2/$CF249^2</f>
        <v>4.893806743131301E-3</v>
      </c>
      <c r="CY249" s="37">
        <f ca="1">$CC249^2/$CF249^2</f>
        <v>0.51200803871565681</v>
      </c>
      <c r="DA249" s="98" t="s">
        <v>214</v>
      </c>
      <c r="DB249" s="36">
        <f ca="1">OFFSET($A$1,ROW(DB249)-1,MATCH(DA249,$1:$1,0)-1)</f>
        <v>12</v>
      </c>
      <c r="DC249" s="9">
        <f ca="1">BB249</f>
        <v>0.71731843575418996</v>
      </c>
      <c r="DD249" s="9">
        <f ca="1">$DC249+$CA249</f>
        <v>0.98714351483734819</v>
      </c>
      <c r="DE249" s="9">
        <f ca="1">$DC249-$CA249</f>
        <v>0.44749335667103168</v>
      </c>
      <c r="DF249" s="10">
        <f t="shared" ca="1" si="181"/>
        <v>0.37615801523275172</v>
      </c>
    </row>
    <row r="250" spans="1:110" s="8" customFormat="1" ht="32.4" customHeight="1">
      <c r="A250" s="206" t="s">
        <v>686</v>
      </c>
      <c r="B250" s="209" t="s">
        <v>2347</v>
      </c>
      <c r="C250" s="206" t="str">
        <f t="shared" ref="C250:C259" ca="1" si="240">E250&amp;" = "&amp;F250</f>
        <v>Parameter-Variation: Not refurbished / U_Original = 0,80 W/(m²K) - Year_Building = NA</v>
      </c>
      <c r="D250" s="206"/>
      <c r="E250" s="206" t="s">
        <v>205</v>
      </c>
      <c r="F250" s="206" t="str">
        <f t="shared" ref="F250:F255" ca="1" si="241">TEXT(AG250,"0,00")&amp;" W/(m²K) - Year_Building = "&amp;IFERROR(N250,"NA")</f>
        <v>0,80 W/(m²K) - Year_Building = NA</v>
      </c>
      <c r="G250" s="206" t="s">
        <v>2170</v>
      </c>
      <c r="H250" s="206" t="s">
        <v>2171</v>
      </c>
      <c r="I250" s="156" t="s">
        <v>80</v>
      </c>
      <c r="J250" s="156" t="s">
        <v>134</v>
      </c>
      <c r="K250" s="156" t="s">
        <v>155</v>
      </c>
      <c r="L250" s="156" t="s">
        <v>66</v>
      </c>
      <c r="M250" s="156" t="s">
        <v>188</v>
      </c>
      <c r="N250" s="7" t="e">
        <v>#N/A</v>
      </c>
      <c r="O250" s="156">
        <v>0</v>
      </c>
      <c r="P250" s="156">
        <v>1</v>
      </c>
      <c r="Q250" s="156" t="s">
        <v>435</v>
      </c>
      <c r="R250" s="156" t="s">
        <v>204</v>
      </c>
      <c r="S250" s="19">
        <v>0</v>
      </c>
      <c r="T250" s="19">
        <v>0</v>
      </c>
      <c r="U250" s="19" t="e">
        <v>#N/A</v>
      </c>
      <c r="V250" s="19" t="e">
        <v>#N/A</v>
      </c>
      <c r="W250" s="28" t="s">
        <v>41</v>
      </c>
      <c r="X250" s="19" t="e">
        <v>#N/A</v>
      </c>
      <c r="Y250" s="105">
        <f ca="1">IFERROR(OFFSET(Tab.Const.ConstrBorder!$A$1,MATCH(Q250,Tab.Const.ConstrBorder!$A:$A,0)-1,MATCH(Y$87,Tab.Const.ConstrBorder!$1:$1,0)-1),0)</f>
        <v>0</v>
      </c>
      <c r="Z250" s="18">
        <f t="shared" si="188"/>
        <v>1963</v>
      </c>
      <c r="AA250" s="17">
        <f>MATCH(Z250,Tab.Year.Period!$11:$11,1)-3</f>
        <v>5</v>
      </c>
      <c r="AB250" s="17">
        <f>MATCH(AB$88&amp;"."&amp;TEXT(AA250,"00"),Tab.U.Default!$A:$A,0)</f>
        <v>28</v>
      </c>
      <c r="AC250" s="105">
        <f ca="1">OFFSET(Tab.U.Default!$A$1,$AB250-1,MATCH("U_Class_"&amp;IF($J250="TopCeiling","UpperCeiling",$J250)&amp;"_"&amp;AC$87,Tab.U.Default!$1:$1,0)-1)</f>
        <v>1.2</v>
      </c>
      <c r="AD250" s="105">
        <f ca="1">OFFSET(Tab.U.Default!$A$1,$AB250-1,MATCH("U_Class_"&amp;IF($J250="TopCeiling","UpperCeiling",$J250)&amp;"_"&amp;AD$87,Tab.U.Default!$1:$1,0)-1)</f>
        <v>1.2</v>
      </c>
      <c r="AE250" s="105">
        <f ca="1">OFFSET(Tab.U.Default!$A$1,$AB250-1,MATCH("U_Class_"&amp;IF($J250="TopCeiling","UpperCeiling",$J250)&amp;"_"&amp;AE$87,Tab.U.Default!$1:$1,0)-1)</f>
        <v>0.8</v>
      </c>
      <c r="AF250" s="26">
        <f t="shared" ca="1" si="189"/>
        <v>0.8</v>
      </c>
      <c r="AG250" s="26">
        <f t="shared" ca="1" si="229"/>
        <v>0.8</v>
      </c>
      <c r="AH250" s="18" t="str">
        <f t="shared" si="211"/>
        <v>Original</v>
      </c>
      <c r="AI250" s="18" t="str">
        <f t="shared" si="191"/>
        <v>ReplaceInsulation</v>
      </c>
      <c r="AJ250" s="18">
        <f t="shared" si="192"/>
        <v>1963</v>
      </c>
      <c r="AK250" s="17">
        <f>MATCH(AJ250,Tab.Year.Period!$11:$11,1)-3</f>
        <v>5</v>
      </c>
      <c r="AL250" s="17">
        <f>MATCH(AL$88&amp;"."&amp;TEXT(AK250,"00"),Tab.Insulation.Default!$A:$A,0)</f>
        <v>16</v>
      </c>
      <c r="AM250" s="20" t="e">
        <f ca="1">IF(ISNA(IF(S250="",#N/A,S250)),OFFSET(Tab.Insulation.Default!$A$1,$AL250-1,MATCH(AM$87&amp;"_"&amp;$K250,Tab.Insulation.Default!$1:$1,0)-1),#N/A)</f>
        <v>#N/A</v>
      </c>
      <c r="AN250" s="27">
        <f t="shared" si="193"/>
        <v>0</v>
      </c>
      <c r="AO250" s="22">
        <f ca="1">IF(ISNA(IF(V250="",#N/A,V250)),OFFSET(Tab.Insulation.Default!$A$1,$AL250-1,MATCH(AO$87&amp;"_"&amp;$K250,Tab.Insulation.Default!$1:$1,0)-1),#N/A)</f>
        <v>0.05</v>
      </c>
      <c r="AP250" s="23">
        <f t="shared" ca="1" si="194"/>
        <v>0.05</v>
      </c>
      <c r="AQ250" s="29" t="str">
        <f t="shared" si="212"/>
        <v>Gen.Refurbished.05</v>
      </c>
      <c r="AR250" s="17">
        <f>MATCH(AR$88&amp;"."&amp;AQ250,Tab.Measure.f.Default!$A:$A,0)</f>
        <v>16</v>
      </c>
      <c r="AS250" s="21">
        <f ca="1">OFFSET(Tab.Measure.f.Default!$A$1,AR250-1,MATCH(AS$87&amp;"_"&amp;$J250,Tab.Measure.f.Default!$1:$1,0)-1)</f>
        <v>0.75</v>
      </c>
      <c r="AT250" s="29" t="str">
        <f t="shared" si="213"/>
        <v>MUH.NA.05</v>
      </c>
      <c r="AU250" s="17">
        <f>MATCH(AU$88&amp;"."&amp;AT250,Tab.Measure.f.Default!$A:$A,0)</f>
        <v>40</v>
      </c>
      <c r="AV250" s="21">
        <f ca="1">OFFSET(Tab.Measure.f.Default!$A$1,AU250-1,MATCH(AV$87&amp;"_"&amp;$J250,Tab.Measure.f.Default!$1:$1,0)-1)</f>
        <v>0.37</v>
      </c>
      <c r="AW250" s="30">
        <f t="shared" si="195"/>
        <v>0</v>
      </c>
      <c r="AX250" s="9">
        <f t="shared" ca="1" si="214"/>
        <v>1.25</v>
      </c>
      <c r="AY250" s="9">
        <f t="shared" si="215"/>
        <v>0</v>
      </c>
      <c r="AZ250" s="9">
        <f t="shared" ref="AZ250:AZ259" ca="1" si="242">AX250+AY250</f>
        <v>1.25</v>
      </c>
      <c r="BA250" s="9">
        <f t="shared" ref="BA250:BA259" ca="1" si="243">1/AZ250</f>
        <v>0.8</v>
      </c>
      <c r="BB250" s="9">
        <f t="shared" ca="1" si="216"/>
        <v>0.8</v>
      </c>
      <c r="BC250" s="32" t="str">
        <f t="shared" si="217"/>
        <v>E</v>
      </c>
      <c r="BD250" s="20" t="str">
        <f ca="1">OFFSET(Tab.Uncertainty.Levels!$A$1,MATCH(BD$88,Tab.Uncertainty.Levels!$A:$A,0)-1,MATCH(BD$87&amp;"_"&amp;BC250,Tab.Uncertainty.Levels!$1:$1,0)-1)</f>
        <v>Construction year of the building unknown</v>
      </c>
      <c r="BE250" s="24">
        <f ca="1">OFFSET(Tab.Uncertainty.Levels!$A$1,MATCH(BE$88,Tab.Uncertainty.Levels!$A:$A,0)-1,MATCH(BE$87&amp;"_"&amp;BC250,Tab.Uncertainty.Levels!$1:$1,0)-1)</f>
        <v>0.5</v>
      </c>
      <c r="BF250" s="32" t="str">
        <f t="shared" si="218"/>
        <v>-</v>
      </c>
      <c r="BG250" s="20" t="e">
        <f ca="1">OFFSET(Tab.Uncertainty.Levels!$A$1,MATCH(BG$88,Tab.Uncertainty.Levels!$A:$A,0)-1,MATCH(BG$87&amp;"_"&amp;BF250,Tab.Uncertainty.Levels!$1:$1,0)-1)</f>
        <v>#N/A</v>
      </c>
      <c r="BH250" s="24" t="e">
        <f ca="1">OFFSET(Tab.Uncertainty.Levels!$A$1,MATCH(BH$88,Tab.Uncertainty.Levels!$A:$A,0)-1,MATCH(BH$87&amp;"_"&amp;BF250,Tab.Uncertainty.Levels!$1:$1,0)-1)</f>
        <v>#N/A</v>
      </c>
      <c r="BI250" s="32" t="str">
        <f t="shared" si="224"/>
        <v>E</v>
      </c>
      <c r="BJ250" s="13">
        <f ca="1">IF(BF250="-",BE250,BH250)</f>
        <v>0.5</v>
      </c>
      <c r="BK250" s="32" t="str">
        <f>IF(OR($L250="NoDataSource",IFERROR(IF($S250="",#N/A,$S250),0)=0),IF(IFERROR(IF(U250="",#N/A,U250),0)=0,"E","D"),IF($L250="DesignDataPlusQA","A",IF($L250="DesignData","B","C")))</f>
        <v>E</v>
      </c>
      <c r="BL250" s="20" t="str">
        <f ca="1">OFFSET(Tab.Uncertainty.Levels!$A$1,MATCH(BL$88,Tab.Uncertainty.Levels!$A:$A,0)-1,MATCH(BL$87&amp;"_"&amp;BK250,Tab.Uncertainty.Levels!$1:$1,0)-1)</f>
        <v>Insulation available; insulation thickness and year of implementation unknown</v>
      </c>
      <c r="BM250" s="24">
        <f ca="1">OFFSET(Tab.Uncertainty.Levels!$A$1,MATCH(BM$88,Tab.Uncertainty.Levels!$A:$A,0)-1,MATCH(BM$87&amp;"_"&amp;BK250,Tab.Uncertainty.Levels!$1:$1,0)-1)</f>
        <v>0.5</v>
      </c>
      <c r="BN250" s="34">
        <f ca="1">OFFSET(Tab.Uncertainty.Levels!$A$1,MATCH(BN$88,Tab.Uncertainty.Levels!$A:$A,0)-1,MATCH(BN$87&amp;"_"&amp;BK250,Tab.Uncertainty.Levels!$1:$1,0)-1)</f>
        <v>8</v>
      </c>
      <c r="BO250" s="13">
        <f ca="1">IFERROR(MIN(BM250,BN250/AN250),0)</f>
        <v>0</v>
      </c>
      <c r="BP250" s="32" t="str">
        <f>IF(OR($L250="NoDataSource",IFERROR(IF($V250="",#N/A,$V250),0)=0),IF(IFERROR(IF(U250="",#N/A,U250),0)=0,"E","D"),IF($L250="DesignDataPlusQA","A",IF($L250="DesignData","B","C")))</f>
        <v>E</v>
      </c>
      <c r="BQ250" s="20" t="str">
        <f ca="1">OFFSET(Tab.Uncertainty.Levels!$A$1,MATCH(BQ$88,Tab.Uncertainty.Levels!$A:$A,0)-1,MATCH(BQ$87&amp;"_"&amp;BP250,Tab.Uncertainty.Levels!$1:$1,0)-1)</f>
        <v>Insulation available; no information about material and year of implementation</v>
      </c>
      <c r="BR250" s="97">
        <f ca="1">OFFSET(Tab.Uncertainty.Levels!$A$1,MATCH(BR$88,Tab.Uncertainty.Levels!$A:$A,0)-1,MATCH(BR$87&amp;"_"&amp;BP250,Tab.Uncertainty.Levels!$1:$1,0)-1)</f>
        <v>0.3</v>
      </c>
      <c r="BS250" s="32" t="str">
        <f>IF(L250="NoDataSource","D",IF(IFERROR(IF($T250="",#N/A,$T250),0)=0,IF(OR(IFERROR(IF($S250="",#N/A,$S250),0)&gt;0,$R250="Refurbish"),"D","E"),IF($L250="DesignDataPlusQA","A",IF($L250="DesignData","B","C"))))</f>
        <v>E</v>
      </c>
      <c r="BT250" s="20" t="str">
        <f ca="1">OFFSET(Tab.Uncertainty.Levels!$A$1,MATCH(BT$88,Tab.Uncertainty.Levels!$A:$A,0)-1,MATCH(BT$87&amp;"_"&amp;BS250,Tab.Uncertainty.Levels!$1:$1,0)-1)</f>
        <v>Unknown if insulation has been applied (default fraction value is the average insulation fraction for all buildings)</v>
      </c>
      <c r="BU250" s="33">
        <f ca="1">OFFSET(Tab.Uncertainty.Levels!$A$1,MATCH(BU$88,Tab.Uncertainty.Levels!$A:$A,0)-1,MATCH(BU$87&amp;"_"&amp;BS250,Tab.Uncertainty.Levels!$1:$1,0)-1)</f>
        <v>0.5</v>
      </c>
      <c r="BV250" s="13">
        <f ca="1">IFERROR(MIN(BU250/AW250,1,(1-AW250)/AW250),0)</f>
        <v>0</v>
      </c>
      <c r="BW250" s="96">
        <f ca="1">ABS(1+(AW250*(1/(1+AN250/100/AP250*AG250)^2-1)))*BJ250*$AG250</f>
        <v>0.4</v>
      </c>
      <c r="BX250" s="96">
        <f ca="1">ABS(-AG250+1/(1/AG250+AN250/100/AP250))*BV250*AW250</f>
        <v>0</v>
      </c>
      <c r="BY250" s="96">
        <f ca="1">ABS(-AW250*AP250/((AP250/AG250+AN250/100)^2))*(BO250*AN250/100)</f>
        <v>0</v>
      </c>
      <c r="BZ250" s="202">
        <f ca="1">ABS(AW250*AN250/100/(1/AG250*AP250+AN250/100)^2)*(BR250*AP250)</f>
        <v>0</v>
      </c>
      <c r="CA250" s="103">
        <f t="shared" ca="1" si="198"/>
        <v>0.4</v>
      </c>
      <c r="CB250" s="37">
        <f t="shared" ca="1" si="219"/>
        <v>0.5</v>
      </c>
      <c r="CC250" s="37">
        <f t="shared" ca="1" si="220"/>
        <v>0</v>
      </c>
      <c r="CD250" s="37">
        <f t="shared" ca="1" si="221"/>
        <v>0</v>
      </c>
      <c r="CE250" s="37">
        <f t="shared" ca="1" si="222"/>
        <v>0</v>
      </c>
      <c r="CF250" s="13">
        <f t="shared" ca="1" si="223"/>
        <v>0.5</v>
      </c>
      <c r="CG250" s="101">
        <f ca="1">AG250</f>
        <v>0.8</v>
      </c>
      <c r="CH250" s="101">
        <f>AW250</f>
        <v>0</v>
      </c>
      <c r="CI250" s="203">
        <f>IF(CH250&gt;0,AN250,0)</f>
        <v>0</v>
      </c>
      <c r="CJ250" s="102">
        <f>IF(AND(CH250&gt;0,CI250&gt;0),AP250,0)</f>
        <v>0</v>
      </c>
      <c r="CK250" s="102">
        <f ca="1">BB250</f>
        <v>0.8</v>
      </c>
      <c r="CL250" s="37">
        <f t="shared" ca="1" si="230"/>
        <v>0.5</v>
      </c>
      <c r="CM250" s="37">
        <f t="shared" ca="1" si="231"/>
        <v>0</v>
      </c>
      <c r="CN250" s="37">
        <f t="shared" ca="1" si="232"/>
        <v>0</v>
      </c>
      <c r="CO250" s="37">
        <f t="shared" ca="1" si="233"/>
        <v>0.3</v>
      </c>
      <c r="CP250" s="37">
        <f t="shared" ca="1" si="234"/>
        <v>0.5</v>
      </c>
      <c r="CQ250" s="95">
        <f t="shared" ca="1" si="235"/>
        <v>0.4</v>
      </c>
      <c r="CR250" s="95">
        <f t="shared" ca="1" si="236"/>
        <v>0</v>
      </c>
      <c r="CS250" s="95">
        <f t="shared" ca="1" si="237"/>
        <v>0</v>
      </c>
      <c r="CT250" s="103">
        <f t="shared" ca="1" si="238"/>
        <v>0</v>
      </c>
      <c r="CU250" s="95">
        <f t="shared" ca="1" si="239"/>
        <v>0.4</v>
      </c>
      <c r="CV250" s="37">
        <f ca="1">$CB250^2/$CF250^2</f>
        <v>1</v>
      </c>
      <c r="CW250" s="37">
        <f ca="1">$CD250^2/$CF250^2</f>
        <v>0</v>
      </c>
      <c r="CX250" s="37">
        <f ca="1">$CE250^2/$CF250^2</f>
        <v>0</v>
      </c>
      <c r="CY250" s="37">
        <f ca="1">$CC250^2/$CF250^2</f>
        <v>0</v>
      </c>
      <c r="DA250" s="98" t="s">
        <v>214</v>
      </c>
      <c r="DB250" s="36">
        <f ca="1">OFFSET($A$1,ROW(DB250)-1,MATCH(DA250,$1:$1,0)-1)</f>
        <v>0</v>
      </c>
      <c r="DC250" s="9">
        <f ca="1">BB250</f>
        <v>0.8</v>
      </c>
      <c r="DD250" s="9">
        <f ca="1">$DC250+$CA250</f>
        <v>1.2000000000000002</v>
      </c>
      <c r="DE250" s="9">
        <f ca="1">$DC250-$CA250</f>
        <v>0.4</v>
      </c>
      <c r="DF250" s="10">
        <f t="shared" ca="1" si="181"/>
        <v>0.50000000000000011</v>
      </c>
    </row>
    <row r="251" spans="1:110" s="8" customFormat="1" ht="32.4" customHeight="1">
      <c r="A251" s="206" t="s">
        <v>687</v>
      </c>
      <c r="B251" s="209" t="s">
        <v>2347</v>
      </c>
      <c r="C251" s="206" t="str">
        <f t="shared" ca="1" si="240"/>
        <v>Parameter-Variation: Not refurbished / U_Original = 1,90 W/(m²K) - Year_Building = 1850</v>
      </c>
      <c r="D251" s="206"/>
      <c r="E251" s="206" t="s">
        <v>205</v>
      </c>
      <c r="F251" s="206" t="str">
        <f t="shared" ca="1" si="241"/>
        <v>1,90 W/(m²K) - Year_Building = 1850</v>
      </c>
      <c r="G251" s="206" t="s">
        <v>2170</v>
      </c>
      <c r="H251" s="206" t="s">
        <v>2171</v>
      </c>
      <c r="I251" s="156" t="s">
        <v>80</v>
      </c>
      <c r="J251" s="156" t="s">
        <v>134</v>
      </c>
      <c r="K251" s="156" t="s">
        <v>155</v>
      </c>
      <c r="L251" s="156" t="s">
        <v>66</v>
      </c>
      <c r="M251" s="156" t="s">
        <v>188</v>
      </c>
      <c r="N251" s="7">
        <v>1850</v>
      </c>
      <c r="O251" s="156">
        <v>0</v>
      </c>
      <c r="P251" s="156">
        <v>1</v>
      </c>
      <c r="Q251" s="156" t="s">
        <v>435</v>
      </c>
      <c r="R251" s="156" t="s">
        <v>204</v>
      </c>
      <c r="S251" s="19">
        <v>0</v>
      </c>
      <c r="T251" s="19">
        <v>0</v>
      </c>
      <c r="U251" s="19" t="e">
        <v>#N/A</v>
      </c>
      <c r="V251" s="19" t="e">
        <v>#N/A</v>
      </c>
      <c r="W251" s="28" t="s">
        <v>41</v>
      </c>
      <c r="X251" s="19" t="e">
        <v>#N/A</v>
      </c>
      <c r="Y251" s="105">
        <f ca="1">IFERROR(OFFSET(Tab.Const.ConstrBorder!$A$1,MATCH(Q251,Tab.Const.ConstrBorder!$A:$A,0)-1,MATCH(Y$87,Tab.Const.ConstrBorder!$1:$1,0)-1),0)</f>
        <v>0</v>
      </c>
      <c r="Z251" s="18">
        <f t="shared" si="188"/>
        <v>1850</v>
      </c>
      <c r="AA251" s="17">
        <f>MATCH(Z251,Tab.Year.Period!$11:$11,1)-3</f>
        <v>1</v>
      </c>
      <c r="AB251" s="17">
        <f>MATCH(AB$88&amp;"."&amp;TEXT(AA251,"00"),Tab.U.Default!$A:$A,0)</f>
        <v>24</v>
      </c>
      <c r="AC251" s="105">
        <f ca="1">OFFSET(Tab.U.Default!$A$1,$AB251-1,MATCH("U_Class_"&amp;IF($J251="TopCeiling","UpperCeiling",$J251)&amp;"_"&amp;AC$87,Tab.U.Default!$1:$1,0)-1)</f>
        <v>1.7</v>
      </c>
      <c r="AD251" s="105">
        <f ca="1">OFFSET(Tab.U.Default!$A$1,$AB251-1,MATCH("U_Class_"&amp;IF($J251="TopCeiling","UpperCeiling",$J251)&amp;"_"&amp;AD$87,Tab.U.Default!$1:$1,0)-1)</f>
        <v>1.7</v>
      </c>
      <c r="AE251" s="105">
        <f ca="1">OFFSET(Tab.U.Default!$A$1,$AB251-1,MATCH("U_Class_"&amp;IF($J251="TopCeiling","UpperCeiling",$J251)&amp;"_"&amp;AE$87,Tab.U.Default!$1:$1,0)-1)</f>
        <v>1.9</v>
      </c>
      <c r="AF251" s="26">
        <f t="shared" ca="1" si="189"/>
        <v>1.9</v>
      </c>
      <c r="AG251" s="26">
        <f t="shared" ca="1" si="229"/>
        <v>1.9000000000000001</v>
      </c>
      <c r="AH251" s="18" t="str">
        <f t="shared" si="211"/>
        <v>Original</v>
      </c>
      <c r="AI251" s="18" t="str">
        <f t="shared" si="191"/>
        <v>ReplaceInsulation</v>
      </c>
      <c r="AJ251" s="18">
        <f t="shared" si="192"/>
        <v>1850</v>
      </c>
      <c r="AK251" s="17">
        <f>MATCH(AJ251,Tab.Year.Period!$11:$11,1)-3</f>
        <v>1</v>
      </c>
      <c r="AL251" s="17">
        <f>MATCH(AL$88&amp;"."&amp;TEXT(AK251,"00"),Tab.Insulation.Default!$A:$A,0)</f>
        <v>12</v>
      </c>
      <c r="AM251" s="20" t="e">
        <f ca="1">IF(ISNA(IF(S251="",#N/A,S251)),OFFSET(Tab.Insulation.Default!$A$1,$AL251-1,MATCH(AM$87&amp;"_"&amp;$K251,Tab.Insulation.Default!$1:$1,0)-1),#N/A)</f>
        <v>#N/A</v>
      </c>
      <c r="AN251" s="27">
        <f t="shared" si="193"/>
        <v>0</v>
      </c>
      <c r="AO251" s="22">
        <f ca="1">IF(ISNA(IF(V251="",#N/A,V251)),OFFSET(Tab.Insulation.Default!$A$1,$AL251-1,MATCH(AO$87&amp;"_"&amp;$K251,Tab.Insulation.Default!$1:$1,0)-1),#N/A)</f>
        <v>0.05</v>
      </c>
      <c r="AP251" s="23">
        <f t="shared" ca="1" si="194"/>
        <v>0.05</v>
      </c>
      <c r="AQ251" s="29" t="str">
        <f t="shared" si="212"/>
        <v>Gen.Refurbished.01</v>
      </c>
      <c r="AR251" s="17">
        <f>MATCH(AR$88&amp;"."&amp;AQ251,Tab.Measure.f.Default!$A:$A,0)</f>
        <v>12</v>
      </c>
      <c r="AS251" s="21">
        <f ca="1">OFFSET(Tab.Measure.f.Default!$A$1,AR251-1,MATCH(AS$87&amp;"_"&amp;$J251,Tab.Measure.f.Default!$1:$1,0)-1)</f>
        <v>0.75</v>
      </c>
      <c r="AT251" s="29" t="str">
        <f t="shared" si="213"/>
        <v>MUH.NA.01</v>
      </c>
      <c r="AU251" s="17">
        <f>MATCH(AU$88&amp;"."&amp;AT251,Tab.Measure.f.Default!$A:$A,0)</f>
        <v>36</v>
      </c>
      <c r="AV251" s="21">
        <f ca="1">OFFSET(Tab.Measure.f.Default!$A$1,AU251-1,MATCH(AV$87&amp;"_"&amp;$J251,Tab.Measure.f.Default!$1:$1,0)-1)</f>
        <v>0.37</v>
      </c>
      <c r="AW251" s="30">
        <f t="shared" si="195"/>
        <v>0</v>
      </c>
      <c r="AX251" s="9">
        <f t="shared" ca="1" si="214"/>
        <v>0.52631578947368418</v>
      </c>
      <c r="AY251" s="9">
        <f t="shared" si="215"/>
        <v>0</v>
      </c>
      <c r="AZ251" s="9">
        <f t="shared" ca="1" si="242"/>
        <v>0.52631578947368418</v>
      </c>
      <c r="BA251" s="9">
        <f t="shared" ca="1" si="243"/>
        <v>1.9000000000000001</v>
      </c>
      <c r="BB251" s="9">
        <f t="shared" ca="1" si="216"/>
        <v>1.9000000000000001</v>
      </c>
      <c r="BC251" s="32" t="str">
        <f t="shared" si="217"/>
        <v>D</v>
      </c>
      <c r="BD251" s="20" t="str">
        <f ca="1">OFFSET(Tab.Uncertainty.Levels!$A$1,MATCH(BD$88,Tab.Uncertainty.Levels!$A:$A,0)-1,MATCH(BD$87&amp;"_"&amp;BC251,Tab.Uncertainty.Levels!$1:$1,0)-1)</f>
        <v>Use of default values; building constructed until 1983</v>
      </c>
      <c r="BE251" s="24">
        <f ca="1">OFFSET(Tab.Uncertainty.Levels!$A$1,MATCH(BE$88,Tab.Uncertainty.Levels!$A:$A,0)-1,MATCH(BE$87&amp;"_"&amp;BC251,Tab.Uncertainty.Levels!$1:$1,0)-1)</f>
        <v>0.3</v>
      </c>
      <c r="BF251" s="32" t="str">
        <f t="shared" si="218"/>
        <v>-</v>
      </c>
      <c r="BG251" s="20" t="e">
        <f ca="1">OFFSET(Tab.Uncertainty.Levels!$A$1,MATCH(BG$88,Tab.Uncertainty.Levels!$A:$A,0)-1,MATCH(BG$87&amp;"_"&amp;BF251,Tab.Uncertainty.Levels!$1:$1,0)-1)</f>
        <v>#N/A</v>
      </c>
      <c r="BH251" s="24" t="e">
        <f ca="1">OFFSET(Tab.Uncertainty.Levels!$A$1,MATCH(BH$88,Tab.Uncertainty.Levels!$A:$A,0)-1,MATCH(BH$87&amp;"_"&amp;BF251,Tab.Uncertainty.Levels!$1:$1,0)-1)</f>
        <v>#N/A</v>
      </c>
      <c r="BI251" s="32" t="str">
        <f t="shared" si="224"/>
        <v>D</v>
      </c>
      <c r="BJ251" s="13">
        <f ca="1">IF(BF251="-",BE251,BH251)</f>
        <v>0.3</v>
      </c>
      <c r="BK251" s="32" t="str">
        <f>IF(OR($L251="NoDataSource",IFERROR(IF($S251="",#N/A,$S251),0)=0),IF(IFERROR(IF(U251="",#N/A,U251),0)=0,"E","D"),IF($L251="DesignDataPlusQA","A",IF($L251="DesignData","B","C")))</f>
        <v>E</v>
      </c>
      <c r="BL251" s="20" t="str">
        <f ca="1">OFFSET(Tab.Uncertainty.Levels!$A$1,MATCH(BL$88,Tab.Uncertainty.Levels!$A:$A,0)-1,MATCH(BL$87&amp;"_"&amp;BK251,Tab.Uncertainty.Levels!$1:$1,0)-1)</f>
        <v>Insulation available; insulation thickness and year of implementation unknown</v>
      </c>
      <c r="BM251" s="24">
        <f ca="1">OFFSET(Tab.Uncertainty.Levels!$A$1,MATCH(BM$88,Tab.Uncertainty.Levels!$A:$A,0)-1,MATCH(BM$87&amp;"_"&amp;BK251,Tab.Uncertainty.Levels!$1:$1,0)-1)</f>
        <v>0.5</v>
      </c>
      <c r="BN251" s="34">
        <f ca="1">OFFSET(Tab.Uncertainty.Levels!$A$1,MATCH(BN$88,Tab.Uncertainty.Levels!$A:$A,0)-1,MATCH(BN$87&amp;"_"&amp;BK251,Tab.Uncertainty.Levels!$1:$1,0)-1)</f>
        <v>8</v>
      </c>
      <c r="BO251" s="13">
        <f ca="1">IFERROR(MIN(BM251,BN251/AN251),0)</f>
        <v>0</v>
      </c>
      <c r="BP251" s="32" t="str">
        <f>IF(OR($L251="NoDataSource",IFERROR(IF($V251="",#N/A,$V251),0)=0),IF(IFERROR(IF(U251="",#N/A,U251),0)=0,"E","D"),IF($L251="DesignDataPlusQA","A",IF($L251="DesignData","B","C")))</f>
        <v>E</v>
      </c>
      <c r="BQ251" s="20" t="str">
        <f ca="1">OFFSET(Tab.Uncertainty.Levels!$A$1,MATCH(BQ$88,Tab.Uncertainty.Levels!$A:$A,0)-1,MATCH(BQ$87&amp;"_"&amp;BP251,Tab.Uncertainty.Levels!$1:$1,0)-1)</f>
        <v>Insulation available; no information about material and year of implementation</v>
      </c>
      <c r="BR251" s="97">
        <f ca="1">OFFSET(Tab.Uncertainty.Levels!$A$1,MATCH(BR$88,Tab.Uncertainty.Levels!$A:$A,0)-1,MATCH(BR$87&amp;"_"&amp;BP251,Tab.Uncertainty.Levels!$1:$1,0)-1)</f>
        <v>0.3</v>
      </c>
      <c r="BS251" s="32" t="str">
        <f>IF(L251="NoDataSource","D",IF(IFERROR(IF($T251="",#N/A,$T251),0)=0,IF(OR(IFERROR(IF($S251="",#N/A,$S251),0)&gt;0,$R251="Refurbish"),"D","E"),IF($L251="DesignDataPlusQA","A",IF($L251="DesignData","B","C"))))</f>
        <v>E</v>
      </c>
      <c r="BT251" s="20" t="str">
        <f ca="1">OFFSET(Tab.Uncertainty.Levels!$A$1,MATCH(BT$88,Tab.Uncertainty.Levels!$A:$A,0)-1,MATCH(BT$87&amp;"_"&amp;BS251,Tab.Uncertainty.Levels!$1:$1,0)-1)</f>
        <v>Unknown if insulation has been applied (default fraction value is the average insulation fraction for all buildings)</v>
      </c>
      <c r="BU251" s="33">
        <f ca="1">OFFSET(Tab.Uncertainty.Levels!$A$1,MATCH(BU$88,Tab.Uncertainty.Levels!$A:$A,0)-1,MATCH(BU$87&amp;"_"&amp;BS251,Tab.Uncertainty.Levels!$1:$1,0)-1)</f>
        <v>0.5</v>
      </c>
      <c r="BV251" s="13">
        <f ca="1">IFERROR(MIN(BU251/AW251,1,(1-AW251)/AW251),0)</f>
        <v>0</v>
      </c>
      <c r="BW251" s="96">
        <f ca="1">ABS(1+(AW251*(1/(1+AN251/100/AP251*AG251)^2-1)))*BJ251*$AG251</f>
        <v>0.57000000000000006</v>
      </c>
      <c r="BX251" s="96">
        <f ca="1">ABS(-AG251+1/(1/AG251+AN251/100/AP251))*BV251*AW251</f>
        <v>0</v>
      </c>
      <c r="BY251" s="96">
        <f ca="1">ABS(-AW251*AP251/((AP251/AG251+AN251/100)^2))*(BO251*AN251/100)</f>
        <v>0</v>
      </c>
      <c r="BZ251" s="202">
        <f ca="1">ABS(AW251*AN251/100/(1/AG251*AP251+AN251/100)^2)*(BR251*AP251)</f>
        <v>0</v>
      </c>
      <c r="CA251" s="103">
        <f t="shared" ca="1" si="198"/>
        <v>0.57000000000000006</v>
      </c>
      <c r="CB251" s="37">
        <f t="shared" ca="1" si="219"/>
        <v>0.3</v>
      </c>
      <c r="CC251" s="37">
        <f t="shared" ca="1" si="220"/>
        <v>0</v>
      </c>
      <c r="CD251" s="37">
        <f t="shared" ca="1" si="221"/>
        <v>0</v>
      </c>
      <c r="CE251" s="37">
        <f t="shared" ca="1" si="222"/>
        <v>0</v>
      </c>
      <c r="CF251" s="13">
        <f t="shared" ca="1" si="223"/>
        <v>0.3</v>
      </c>
      <c r="CG251" s="101">
        <f ca="1">AG251</f>
        <v>1.9000000000000001</v>
      </c>
      <c r="CH251" s="101">
        <f>AW251</f>
        <v>0</v>
      </c>
      <c r="CI251" s="203">
        <f>IF(CH251&gt;0,AN251,0)</f>
        <v>0</v>
      </c>
      <c r="CJ251" s="102">
        <f>IF(AND(CH251&gt;0,CI251&gt;0),AP251,0)</f>
        <v>0</v>
      </c>
      <c r="CK251" s="102">
        <f ca="1">BB251</f>
        <v>1.9000000000000001</v>
      </c>
      <c r="CL251" s="37">
        <f t="shared" ca="1" si="230"/>
        <v>0.3</v>
      </c>
      <c r="CM251" s="37">
        <f t="shared" ca="1" si="231"/>
        <v>0</v>
      </c>
      <c r="CN251" s="37">
        <f t="shared" ca="1" si="232"/>
        <v>0</v>
      </c>
      <c r="CO251" s="37">
        <f t="shared" ca="1" si="233"/>
        <v>0.3</v>
      </c>
      <c r="CP251" s="37">
        <f t="shared" ca="1" si="234"/>
        <v>0.3</v>
      </c>
      <c r="CQ251" s="95">
        <f t="shared" ca="1" si="235"/>
        <v>0.57000000000000006</v>
      </c>
      <c r="CR251" s="95">
        <f t="shared" ca="1" si="236"/>
        <v>0</v>
      </c>
      <c r="CS251" s="95">
        <f t="shared" ca="1" si="237"/>
        <v>0</v>
      </c>
      <c r="CT251" s="103">
        <f t="shared" ca="1" si="238"/>
        <v>0</v>
      </c>
      <c r="CU251" s="95">
        <f t="shared" ca="1" si="239"/>
        <v>0.57000000000000006</v>
      </c>
      <c r="CV251" s="37">
        <f ca="1">$CB251^2/$CF251^2</f>
        <v>1</v>
      </c>
      <c r="CW251" s="37">
        <f ca="1">$CD251^2/$CF251^2</f>
        <v>0</v>
      </c>
      <c r="CX251" s="37">
        <f ca="1">$CE251^2/$CF251^2</f>
        <v>0</v>
      </c>
      <c r="CY251" s="37">
        <f ca="1">$CC251^2/$CF251^2</f>
        <v>0</v>
      </c>
      <c r="DA251" s="98" t="s">
        <v>214</v>
      </c>
      <c r="DB251" s="36">
        <f ca="1">OFFSET($A$1,ROW(DB251)-1,MATCH(DA251,$1:$1,0)-1)</f>
        <v>0</v>
      </c>
      <c r="DC251" s="9">
        <f ca="1">BB251</f>
        <v>1.9000000000000001</v>
      </c>
      <c r="DD251" s="9">
        <f ca="1">$DC251+$CA251</f>
        <v>2.4700000000000002</v>
      </c>
      <c r="DE251" s="9">
        <f ca="1">$DC251-$CA251</f>
        <v>1.33</v>
      </c>
      <c r="DF251" s="10">
        <f t="shared" ca="1" si="181"/>
        <v>0.3</v>
      </c>
    </row>
    <row r="252" spans="1:110" s="8" customFormat="1" ht="32.4" customHeight="1">
      <c r="A252" s="206" t="s">
        <v>688</v>
      </c>
      <c r="B252" s="209" t="s">
        <v>2347</v>
      </c>
      <c r="C252" s="206" t="str">
        <f t="shared" ca="1" si="240"/>
        <v>Parameter-Variation: Not refurbished / U_Original = 1,50 W/(m²K) - Year_Building = 1920</v>
      </c>
      <c r="D252" s="206"/>
      <c r="E252" s="206" t="s">
        <v>205</v>
      </c>
      <c r="F252" s="206" t="str">
        <f t="shared" ca="1" si="241"/>
        <v>1,50 W/(m²K) - Year_Building = 1920</v>
      </c>
      <c r="G252" s="206" t="s">
        <v>2170</v>
      </c>
      <c r="H252" s="206" t="s">
        <v>2171</v>
      </c>
      <c r="I252" s="156" t="s">
        <v>80</v>
      </c>
      <c r="J252" s="156" t="s">
        <v>134</v>
      </c>
      <c r="K252" s="156" t="s">
        <v>155</v>
      </c>
      <c r="L252" s="156" t="s">
        <v>66</v>
      </c>
      <c r="M252" s="156" t="s">
        <v>188</v>
      </c>
      <c r="N252" s="7">
        <v>1920</v>
      </c>
      <c r="O252" s="156">
        <v>1</v>
      </c>
      <c r="P252" s="156">
        <v>0</v>
      </c>
      <c r="Q252" s="156" t="s">
        <v>435</v>
      </c>
      <c r="R252" s="156" t="s">
        <v>204</v>
      </c>
      <c r="S252" s="19">
        <v>0</v>
      </c>
      <c r="T252" s="19">
        <v>0</v>
      </c>
      <c r="U252" s="19" t="e">
        <v>#N/A</v>
      </c>
      <c r="V252" s="19" t="e">
        <v>#N/A</v>
      </c>
      <c r="W252" s="28" t="s">
        <v>41</v>
      </c>
      <c r="X252" s="19" t="e">
        <v>#N/A</v>
      </c>
      <c r="Y252" s="105">
        <f ca="1">IFERROR(OFFSET(Tab.Const.ConstrBorder!$A$1,MATCH(Q252,Tab.Const.ConstrBorder!$A:$A,0)-1,MATCH(Y$87,Tab.Const.ConstrBorder!$1:$1,0)-1),0)</f>
        <v>0</v>
      </c>
      <c r="Z252" s="18">
        <f t="shared" si="188"/>
        <v>1920</v>
      </c>
      <c r="AA252" s="17">
        <f>MATCH(Z252,Tab.Year.Period!$11:$11,1)-3</f>
        <v>3</v>
      </c>
      <c r="AB252" s="17">
        <f>MATCH(AB$88&amp;"."&amp;TEXT(AA252,"00"),Tab.U.Default!$A:$A,0)</f>
        <v>26</v>
      </c>
      <c r="AC252" s="105">
        <f ca="1">OFFSET(Tab.U.Default!$A$1,$AB252-1,MATCH("U_Class_"&amp;IF($J252="TopCeiling","UpperCeiling",$J252)&amp;"_"&amp;AC$87,Tab.U.Default!$1:$1,0)-1)</f>
        <v>1.5</v>
      </c>
      <c r="AD252" s="105">
        <f ca="1">OFFSET(Tab.U.Default!$A$1,$AB252-1,MATCH("U_Class_"&amp;IF($J252="TopCeiling","UpperCeiling",$J252)&amp;"_"&amp;AD$87,Tab.U.Default!$1:$1,0)-1)</f>
        <v>1.5</v>
      </c>
      <c r="AE252" s="105">
        <f ca="1">OFFSET(Tab.U.Default!$A$1,$AB252-1,MATCH("U_Class_"&amp;IF($J252="TopCeiling","UpperCeiling",$J252)&amp;"_"&amp;AE$87,Tab.U.Default!$1:$1,0)-1)</f>
        <v>1.5</v>
      </c>
      <c r="AF252" s="26">
        <f t="shared" ca="1" si="189"/>
        <v>1.5</v>
      </c>
      <c r="AG252" s="26">
        <f t="shared" ca="1" si="229"/>
        <v>1.5</v>
      </c>
      <c r="AH252" s="18" t="str">
        <f t="shared" si="211"/>
        <v>Original</v>
      </c>
      <c r="AI252" s="18" t="str">
        <f t="shared" si="191"/>
        <v>ReplaceInsulation</v>
      </c>
      <c r="AJ252" s="18">
        <f t="shared" si="192"/>
        <v>1920</v>
      </c>
      <c r="AK252" s="17">
        <f>MATCH(AJ252,Tab.Year.Period!$11:$11,1)-3</f>
        <v>3</v>
      </c>
      <c r="AL252" s="17">
        <f>MATCH(AL$88&amp;"."&amp;TEXT(AK252,"00"),Tab.Insulation.Default!$A:$A,0)</f>
        <v>14</v>
      </c>
      <c r="AM252" s="20" t="e">
        <f ca="1">IF(ISNA(IF(S252="",#N/A,S252)),OFFSET(Tab.Insulation.Default!$A$1,$AL252-1,MATCH(AM$87&amp;"_"&amp;$K252,Tab.Insulation.Default!$1:$1,0)-1),#N/A)</f>
        <v>#N/A</v>
      </c>
      <c r="AN252" s="27">
        <f t="shared" si="193"/>
        <v>0</v>
      </c>
      <c r="AO252" s="22">
        <f ca="1">IF(ISNA(IF(V252="",#N/A,V252)),OFFSET(Tab.Insulation.Default!$A$1,$AL252-1,MATCH(AO$87&amp;"_"&amp;$K252,Tab.Insulation.Default!$1:$1,0)-1),#N/A)</f>
        <v>0.05</v>
      </c>
      <c r="AP252" s="23">
        <f t="shared" ca="1" si="194"/>
        <v>0.05</v>
      </c>
      <c r="AQ252" s="29" t="str">
        <f t="shared" si="212"/>
        <v>Gen.Refurbished.03</v>
      </c>
      <c r="AR252" s="17">
        <f>MATCH(AR$88&amp;"."&amp;AQ252,Tab.Measure.f.Default!$A:$A,0)</f>
        <v>14</v>
      </c>
      <c r="AS252" s="21">
        <f ca="1">OFFSET(Tab.Measure.f.Default!$A$1,AR252-1,MATCH(AS$87&amp;"_"&amp;$J252,Tab.Measure.f.Default!$1:$1,0)-1)</f>
        <v>0.75</v>
      </c>
      <c r="AT252" s="29" t="str">
        <f t="shared" si="213"/>
        <v>MUH.NA.03</v>
      </c>
      <c r="AU252" s="17">
        <f>MATCH(AU$88&amp;"."&amp;AT252,Tab.Measure.f.Default!$A:$A,0)</f>
        <v>38</v>
      </c>
      <c r="AV252" s="21">
        <f ca="1">OFFSET(Tab.Measure.f.Default!$A$1,AU252-1,MATCH(AV$87&amp;"_"&amp;$J252,Tab.Measure.f.Default!$1:$1,0)-1)</f>
        <v>0.37</v>
      </c>
      <c r="AW252" s="30">
        <f t="shared" si="195"/>
        <v>0</v>
      </c>
      <c r="AX252" s="9">
        <f t="shared" ca="1" si="214"/>
        <v>0.66666666666666663</v>
      </c>
      <c r="AY252" s="9">
        <f t="shared" si="215"/>
        <v>0</v>
      </c>
      <c r="AZ252" s="9">
        <f t="shared" ca="1" si="242"/>
        <v>0.66666666666666663</v>
      </c>
      <c r="BA252" s="9">
        <f t="shared" ca="1" si="243"/>
        <v>1.5</v>
      </c>
      <c r="BB252" s="9">
        <f t="shared" ca="1" si="216"/>
        <v>1.5</v>
      </c>
      <c r="BC252" s="32" t="str">
        <f t="shared" si="217"/>
        <v>D</v>
      </c>
      <c r="BD252" s="20" t="str">
        <f ca="1">OFFSET(Tab.Uncertainty.Levels!$A$1,MATCH(BD$88,Tab.Uncertainty.Levels!$A:$A,0)-1,MATCH(BD$87&amp;"_"&amp;BC252,Tab.Uncertainty.Levels!$1:$1,0)-1)</f>
        <v>Use of default values; building constructed until 1983</v>
      </c>
      <c r="BE252" s="24">
        <f ca="1">OFFSET(Tab.Uncertainty.Levels!$A$1,MATCH(BE$88,Tab.Uncertainty.Levels!$A:$A,0)-1,MATCH(BE$87&amp;"_"&amp;BC252,Tab.Uncertainty.Levels!$1:$1,0)-1)</f>
        <v>0.3</v>
      </c>
      <c r="BF252" s="32" t="str">
        <f t="shared" si="218"/>
        <v>-</v>
      </c>
      <c r="BG252" s="20" t="e">
        <f ca="1">OFFSET(Tab.Uncertainty.Levels!$A$1,MATCH(BG$88,Tab.Uncertainty.Levels!$A:$A,0)-1,MATCH(BG$87&amp;"_"&amp;BF252,Tab.Uncertainty.Levels!$1:$1,0)-1)</f>
        <v>#N/A</v>
      </c>
      <c r="BH252" s="24" t="e">
        <f ca="1">OFFSET(Tab.Uncertainty.Levels!$A$1,MATCH(BH$88,Tab.Uncertainty.Levels!$A:$A,0)-1,MATCH(BH$87&amp;"_"&amp;BF252,Tab.Uncertainty.Levels!$1:$1,0)-1)</f>
        <v>#N/A</v>
      </c>
      <c r="BI252" s="32" t="str">
        <f t="shared" si="224"/>
        <v>D</v>
      </c>
      <c r="BJ252" s="13">
        <f ca="1">IF(BF252="-",BE252,BH252)</f>
        <v>0.3</v>
      </c>
      <c r="BK252" s="32" t="str">
        <f>IF(OR($L252="NoDataSource",IFERROR(IF($S252="",#N/A,$S252),0)=0),IF(IFERROR(IF(U252="",#N/A,U252),0)=0,"E","D"),IF($L252="DesignDataPlusQA","A",IF($L252="DesignData","B","C")))</f>
        <v>E</v>
      </c>
      <c r="BL252" s="20" t="str">
        <f ca="1">OFFSET(Tab.Uncertainty.Levels!$A$1,MATCH(BL$88,Tab.Uncertainty.Levels!$A:$A,0)-1,MATCH(BL$87&amp;"_"&amp;BK252,Tab.Uncertainty.Levels!$1:$1,0)-1)</f>
        <v>Insulation available; insulation thickness and year of implementation unknown</v>
      </c>
      <c r="BM252" s="24">
        <f ca="1">OFFSET(Tab.Uncertainty.Levels!$A$1,MATCH(BM$88,Tab.Uncertainty.Levels!$A:$A,0)-1,MATCH(BM$87&amp;"_"&amp;BK252,Tab.Uncertainty.Levels!$1:$1,0)-1)</f>
        <v>0.5</v>
      </c>
      <c r="BN252" s="34">
        <f ca="1">OFFSET(Tab.Uncertainty.Levels!$A$1,MATCH(BN$88,Tab.Uncertainty.Levels!$A:$A,0)-1,MATCH(BN$87&amp;"_"&amp;BK252,Tab.Uncertainty.Levels!$1:$1,0)-1)</f>
        <v>8</v>
      </c>
      <c r="BO252" s="13">
        <f ca="1">IFERROR(MIN(BM252,BN252/AN252),0)</f>
        <v>0</v>
      </c>
      <c r="BP252" s="32" t="str">
        <f>IF(OR($L252="NoDataSource",IFERROR(IF($V252="",#N/A,$V252),0)=0),IF(IFERROR(IF(U252="",#N/A,U252),0)=0,"E","D"),IF($L252="DesignDataPlusQA","A",IF($L252="DesignData","B","C")))</f>
        <v>E</v>
      </c>
      <c r="BQ252" s="20" t="str">
        <f ca="1">OFFSET(Tab.Uncertainty.Levels!$A$1,MATCH(BQ$88,Tab.Uncertainty.Levels!$A:$A,0)-1,MATCH(BQ$87&amp;"_"&amp;BP252,Tab.Uncertainty.Levels!$1:$1,0)-1)</f>
        <v>Insulation available; no information about material and year of implementation</v>
      </c>
      <c r="BR252" s="97">
        <f ca="1">OFFSET(Tab.Uncertainty.Levels!$A$1,MATCH(BR$88,Tab.Uncertainty.Levels!$A:$A,0)-1,MATCH(BR$87&amp;"_"&amp;BP252,Tab.Uncertainty.Levels!$1:$1,0)-1)</f>
        <v>0.3</v>
      </c>
      <c r="BS252" s="32" t="str">
        <f>IF(L252="NoDataSource","D",IF(IFERROR(IF($T252="",#N/A,$T252),0)=0,IF(OR(IFERROR(IF($S252="",#N/A,$S252),0)&gt;0,$R252="Refurbish"),"D","E"),IF($L252="DesignDataPlusQA","A",IF($L252="DesignData","B","C"))))</f>
        <v>E</v>
      </c>
      <c r="BT252" s="20" t="str">
        <f ca="1">OFFSET(Tab.Uncertainty.Levels!$A$1,MATCH(BT$88,Tab.Uncertainty.Levels!$A:$A,0)-1,MATCH(BT$87&amp;"_"&amp;BS252,Tab.Uncertainty.Levels!$1:$1,0)-1)</f>
        <v>Unknown if insulation has been applied (default fraction value is the average insulation fraction for all buildings)</v>
      </c>
      <c r="BU252" s="33">
        <f ca="1">OFFSET(Tab.Uncertainty.Levels!$A$1,MATCH(BU$88,Tab.Uncertainty.Levels!$A:$A,0)-1,MATCH(BU$87&amp;"_"&amp;BS252,Tab.Uncertainty.Levels!$1:$1,0)-1)</f>
        <v>0.5</v>
      </c>
      <c r="BV252" s="13">
        <f ca="1">IFERROR(MIN(BU252/AW252,1,(1-AW252)/AW252),0)</f>
        <v>0</v>
      </c>
      <c r="BW252" s="96">
        <f ca="1">ABS(1+(AW252*(1/(1+AN252/100/AP252*AG252)^2-1)))*BJ252*$AG252</f>
        <v>0.44999999999999996</v>
      </c>
      <c r="BX252" s="96">
        <f ca="1">ABS(-AG252+1/(1/AG252+AN252/100/AP252))*BV252*AW252</f>
        <v>0</v>
      </c>
      <c r="BY252" s="96">
        <f ca="1">ABS(-AW252*AP252/((AP252/AG252+AN252/100)^2))*(BO252*AN252/100)</f>
        <v>0</v>
      </c>
      <c r="BZ252" s="202">
        <f ca="1">ABS(AW252*AN252/100/(1/AG252*AP252+AN252/100)^2)*(BR252*AP252)</f>
        <v>0</v>
      </c>
      <c r="CA252" s="103">
        <f t="shared" ca="1" si="198"/>
        <v>0.44999999999999996</v>
      </c>
      <c r="CB252" s="37">
        <f t="shared" ca="1" si="219"/>
        <v>0.3</v>
      </c>
      <c r="CC252" s="37">
        <f t="shared" ca="1" si="220"/>
        <v>0</v>
      </c>
      <c r="CD252" s="37">
        <f t="shared" ca="1" si="221"/>
        <v>0</v>
      </c>
      <c r="CE252" s="37">
        <f t="shared" ca="1" si="222"/>
        <v>0</v>
      </c>
      <c r="CF252" s="13">
        <f t="shared" ca="1" si="223"/>
        <v>0.3</v>
      </c>
      <c r="CG252" s="101">
        <f ca="1">AG252</f>
        <v>1.5</v>
      </c>
      <c r="CH252" s="101">
        <f>AW252</f>
        <v>0</v>
      </c>
      <c r="CI252" s="203">
        <f>IF(CH252&gt;0,AN252,0)</f>
        <v>0</v>
      </c>
      <c r="CJ252" s="102">
        <f>IF(AND(CH252&gt;0,CI252&gt;0),AP252,0)</f>
        <v>0</v>
      </c>
      <c r="CK252" s="102">
        <f ca="1">BB252</f>
        <v>1.5</v>
      </c>
      <c r="CL252" s="37">
        <f t="shared" ca="1" si="230"/>
        <v>0.3</v>
      </c>
      <c r="CM252" s="37">
        <f t="shared" ca="1" si="231"/>
        <v>0</v>
      </c>
      <c r="CN252" s="37">
        <f t="shared" ca="1" si="232"/>
        <v>0</v>
      </c>
      <c r="CO252" s="37">
        <f t="shared" ca="1" si="233"/>
        <v>0.3</v>
      </c>
      <c r="CP252" s="37">
        <f t="shared" ca="1" si="234"/>
        <v>0.3</v>
      </c>
      <c r="CQ252" s="95">
        <f t="shared" ca="1" si="235"/>
        <v>0.44999999999999996</v>
      </c>
      <c r="CR252" s="95">
        <f t="shared" ca="1" si="236"/>
        <v>0</v>
      </c>
      <c r="CS252" s="95">
        <f t="shared" ca="1" si="237"/>
        <v>0</v>
      </c>
      <c r="CT252" s="103">
        <f t="shared" ca="1" si="238"/>
        <v>0</v>
      </c>
      <c r="CU252" s="95">
        <f t="shared" ca="1" si="239"/>
        <v>0.44999999999999996</v>
      </c>
      <c r="CV252" s="37">
        <f ca="1">$CB252^2/$CF252^2</f>
        <v>1</v>
      </c>
      <c r="CW252" s="37">
        <f ca="1">$CD252^2/$CF252^2</f>
        <v>0</v>
      </c>
      <c r="CX252" s="37">
        <f ca="1">$CE252^2/$CF252^2</f>
        <v>0</v>
      </c>
      <c r="CY252" s="37">
        <f ca="1">$CC252^2/$CF252^2</f>
        <v>0</v>
      </c>
      <c r="DA252" s="98" t="s">
        <v>214</v>
      </c>
      <c r="DB252" s="36">
        <f ca="1">OFFSET($A$1,ROW(DB252)-1,MATCH(DA252,$1:$1,0)-1)</f>
        <v>0</v>
      </c>
      <c r="DC252" s="9">
        <f ca="1">BB252</f>
        <v>1.5</v>
      </c>
      <c r="DD252" s="9">
        <f ca="1">$DC252+$CA252</f>
        <v>1.95</v>
      </c>
      <c r="DE252" s="9">
        <f ca="1">$DC252-$CA252</f>
        <v>1.05</v>
      </c>
      <c r="DF252" s="10">
        <f t="shared" ca="1" si="181"/>
        <v>0.3</v>
      </c>
    </row>
    <row r="253" spans="1:110" s="8" customFormat="1" ht="32.4" customHeight="1">
      <c r="A253" s="206" t="s">
        <v>689</v>
      </c>
      <c r="B253" s="209" t="s">
        <v>2347</v>
      </c>
      <c r="C253" s="206" t="str">
        <f t="shared" ca="1" si="240"/>
        <v>Parameter-Variation: Not refurbished / U_Original = 1,20 W/(m²K) - Year_Building = 1960</v>
      </c>
      <c r="D253" s="206"/>
      <c r="E253" s="206" t="s">
        <v>205</v>
      </c>
      <c r="F253" s="206" t="str">
        <f t="shared" ca="1" si="241"/>
        <v>1,20 W/(m²K) - Year_Building = 1960</v>
      </c>
      <c r="G253" s="206" t="s">
        <v>2170</v>
      </c>
      <c r="H253" s="206" t="s">
        <v>2171</v>
      </c>
      <c r="I253" s="156" t="s">
        <v>80</v>
      </c>
      <c r="J253" s="156" t="s">
        <v>134</v>
      </c>
      <c r="K253" s="156" t="s">
        <v>155</v>
      </c>
      <c r="L253" s="156" t="s">
        <v>66</v>
      </c>
      <c r="M253" s="156" t="s">
        <v>188</v>
      </c>
      <c r="N253" s="7">
        <v>1960</v>
      </c>
      <c r="O253" s="156">
        <v>1</v>
      </c>
      <c r="P253" s="156">
        <v>0</v>
      </c>
      <c r="Q253" s="156" t="s">
        <v>435</v>
      </c>
      <c r="R253" s="156" t="s">
        <v>204</v>
      </c>
      <c r="S253" s="19">
        <v>0</v>
      </c>
      <c r="T253" s="19">
        <v>0</v>
      </c>
      <c r="U253" s="19" t="e">
        <v>#N/A</v>
      </c>
      <c r="V253" s="19" t="e">
        <v>#N/A</v>
      </c>
      <c r="W253" s="28" t="s">
        <v>41</v>
      </c>
      <c r="X253" s="19" t="e">
        <v>#N/A</v>
      </c>
      <c r="Y253" s="105">
        <f ca="1">IFERROR(OFFSET(Tab.Const.ConstrBorder!$A$1,MATCH(Q253,Tab.Const.ConstrBorder!$A:$A,0)-1,MATCH(Y$87,Tab.Const.ConstrBorder!$1:$1,0)-1),0)</f>
        <v>0</v>
      </c>
      <c r="Z253" s="18">
        <f t="shared" si="188"/>
        <v>1960</v>
      </c>
      <c r="AA253" s="17">
        <f>MATCH(Z253,Tab.Year.Period!$11:$11,1)-3</f>
        <v>5</v>
      </c>
      <c r="AB253" s="17">
        <f>MATCH(AB$88&amp;"."&amp;TEXT(AA253,"00"),Tab.U.Default!$A:$A,0)</f>
        <v>28</v>
      </c>
      <c r="AC253" s="105">
        <f ca="1">OFFSET(Tab.U.Default!$A$1,$AB253-1,MATCH("U_Class_"&amp;IF($J253="TopCeiling","UpperCeiling",$J253)&amp;"_"&amp;AC$87,Tab.U.Default!$1:$1,0)-1)</f>
        <v>1.2</v>
      </c>
      <c r="AD253" s="105">
        <f ca="1">OFFSET(Tab.U.Default!$A$1,$AB253-1,MATCH("U_Class_"&amp;IF($J253="TopCeiling","UpperCeiling",$J253)&amp;"_"&amp;AD$87,Tab.U.Default!$1:$1,0)-1)</f>
        <v>1.2</v>
      </c>
      <c r="AE253" s="105">
        <f ca="1">OFFSET(Tab.U.Default!$A$1,$AB253-1,MATCH("U_Class_"&amp;IF($J253="TopCeiling","UpperCeiling",$J253)&amp;"_"&amp;AE$87,Tab.U.Default!$1:$1,0)-1)</f>
        <v>0.8</v>
      </c>
      <c r="AF253" s="26">
        <f t="shared" ca="1" si="189"/>
        <v>1.2</v>
      </c>
      <c r="AG253" s="26">
        <f t="shared" ca="1" si="229"/>
        <v>1.2</v>
      </c>
      <c r="AH253" s="18" t="str">
        <f t="shared" si="211"/>
        <v>Original</v>
      </c>
      <c r="AI253" s="18" t="str">
        <f t="shared" si="191"/>
        <v>ReplaceInsulation</v>
      </c>
      <c r="AJ253" s="18">
        <f t="shared" si="192"/>
        <v>1960</v>
      </c>
      <c r="AK253" s="17">
        <f>MATCH(AJ253,Tab.Year.Period!$11:$11,1)-3</f>
        <v>5</v>
      </c>
      <c r="AL253" s="17">
        <f>MATCH(AL$88&amp;"."&amp;TEXT(AK253,"00"),Tab.Insulation.Default!$A:$A,0)</f>
        <v>16</v>
      </c>
      <c r="AM253" s="20" t="e">
        <f ca="1">IF(ISNA(IF(S253="",#N/A,S253)),OFFSET(Tab.Insulation.Default!$A$1,$AL253-1,MATCH(AM$87&amp;"_"&amp;$K253,Tab.Insulation.Default!$1:$1,0)-1),#N/A)</f>
        <v>#N/A</v>
      </c>
      <c r="AN253" s="27">
        <f t="shared" si="193"/>
        <v>0</v>
      </c>
      <c r="AO253" s="22">
        <f ca="1">IF(ISNA(IF(V253="",#N/A,V253)),OFFSET(Tab.Insulation.Default!$A$1,$AL253-1,MATCH(AO$87&amp;"_"&amp;$K253,Tab.Insulation.Default!$1:$1,0)-1),#N/A)</f>
        <v>0.05</v>
      </c>
      <c r="AP253" s="23">
        <f t="shared" ca="1" si="194"/>
        <v>0.05</v>
      </c>
      <c r="AQ253" s="29" t="str">
        <f t="shared" si="212"/>
        <v>Gen.Refurbished.05</v>
      </c>
      <c r="AR253" s="17">
        <f>MATCH(AR$88&amp;"."&amp;AQ253,Tab.Measure.f.Default!$A:$A,0)</f>
        <v>16</v>
      </c>
      <c r="AS253" s="21">
        <f ca="1">OFFSET(Tab.Measure.f.Default!$A$1,AR253-1,MATCH(AS$87&amp;"_"&amp;$J253,Tab.Measure.f.Default!$1:$1,0)-1)</f>
        <v>0.75</v>
      </c>
      <c r="AT253" s="29" t="str">
        <f t="shared" si="213"/>
        <v>MUH.NA.05</v>
      </c>
      <c r="AU253" s="17">
        <f>MATCH(AU$88&amp;"."&amp;AT253,Tab.Measure.f.Default!$A:$A,0)</f>
        <v>40</v>
      </c>
      <c r="AV253" s="21">
        <f ca="1">OFFSET(Tab.Measure.f.Default!$A$1,AU253-1,MATCH(AV$87&amp;"_"&amp;$J253,Tab.Measure.f.Default!$1:$1,0)-1)</f>
        <v>0.37</v>
      </c>
      <c r="AW253" s="30">
        <f t="shared" si="195"/>
        <v>0</v>
      </c>
      <c r="AX253" s="9">
        <f t="shared" ca="1" si="214"/>
        <v>0.83333333333333337</v>
      </c>
      <c r="AY253" s="9">
        <f t="shared" si="215"/>
        <v>0</v>
      </c>
      <c r="AZ253" s="9">
        <f t="shared" ca="1" si="242"/>
        <v>0.83333333333333337</v>
      </c>
      <c r="BA253" s="9">
        <f t="shared" ca="1" si="243"/>
        <v>1.2</v>
      </c>
      <c r="BB253" s="9">
        <f t="shared" ca="1" si="216"/>
        <v>1.2</v>
      </c>
      <c r="BC253" s="32" t="str">
        <f t="shared" si="217"/>
        <v>D</v>
      </c>
      <c r="BD253" s="20" t="str">
        <f ca="1">OFFSET(Tab.Uncertainty.Levels!$A$1,MATCH(BD$88,Tab.Uncertainty.Levels!$A:$A,0)-1,MATCH(BD$87&amp;"_"&amp;BC253,Tab.Uncertainty.Levels!$1:$1,0)-1)</f>
        <v>Use of default values; building constructed until 1983</v>
      </c>
      <c r="BE253" s="24">
        <f ca="1">OFFSET(Tab.Uncertainty.Levels!$A$1,MATCH(BE$88,Tab.Uncertainty.Levels!$A:$A,0)-1,MATCH(BE$87&amp;"_"&amp;BC253,Tab.Uncertainty.Levels!$1:$1,0)-1)</f>
        <v>0.3</v>
      </c>
      <c r="BF253" s="32" t="str">
        <f t="shared" si="218"/>
        <v>-</v>
      </c>
      <c r="BG253" s="20" t="e">
        <f ca="1">OFFSET(Tab.Uncertainty.Levels!$A$1,MATCH(BG$88,Tab.Uncertainty.Levels!$A:$A,0)-1,MATCH(BG$87&amp;"_"&amp;BF253,Tab.Uncertainty.Levels!$1:$1,0)-1)</f>
        <v>#N/A</v>
      </c>
      <c r="BH253" s="24" t="e">
        <f ca="1">OFFSET(Tab.Uncertainty.Levels!$A$1,MATCH(BH$88,Tab.Uncertainty.Levels!$A:$A,0)-1,MATCH(BH$87&amp;"_"&amp;BF253,Tab.Uncertainty.Levels!$1:$1,0)-1)</f>
        <v>#N/A</v>
      </c>
      <c r="BI253" s="32" t="str">
        <f t="shared" si="224"/>
        <v>D</v>
      </c>
      <c r="BJ253" s="13">
        <f ca="1">IF(BF253="-",BE253,BH253)</f>
        <v>0.3</v>
      </c>
      <c r="BK253" s="32" t="str">
        <f>IF(OR($L253="NoDataSource",IFERROR(IF($S253="",#N/A,$S253),0)=0),IF(IFERROR(IF(U253="",#N/A,U253),0)=0,"E","D"),IF($L253="DesignDataPlusQA","A",IF($L253="DesignData","B","C")))</f>
        <v>E</v>
      </c>
      <c r="BL253" s="20" t="str">
        <f ca="1">OFFSET(Tab.Uncertainty.Levels!$A$1,MATCH(BL$88,Tab.Uncertainty.Levels!$A:$A,0)-1,MATCH(BL$87&amp;"_"&amp;BK253,Tab.Uncertainty.Levels!$1:$1,0)-1)</f>
        <v>Insulation available; insulation thickness and year of implementation unknown</v>
      </c>
      <c r="BM253" s="24">
        <f ca="1">OFFSET(Tab.Uncertainty.Levels!$A$1,MATCH(BM$88,Tab.Uncertainty.Levels!$A:$A,0)-1,MATCH(BM$87&amp;"_"&amp;BK253,Tab.Uncertainty.Levels!$1:$1,0)-1)</f>
        <v>0.5</v>
      </c>
      <c r="BN253" s="34">
        <f ca="1">OFFSET(Tab.Uncertainty.Levels!$A$1,MATCH(BN$88,Tab.Uncertainty.Levels!$A:$A,0)-1,MATCH(BN$87&amp;"_"&amp;BK253,Tab.Uncertainty.Levels!$1:$1,0)-1)</f>
        <v>8</v>
      </c>
      <c r="BO253" s="13">
        <f ca="1">IFERROR(MIN(BM253,BN253/AN253),0)</f>
        <v>0</v>
      </c>
      <c r="BP253" s="32" t="str">
        <f>IF(OR($L253="NoDataSource",IFERROR(IF($V253="",#N/A,$V253),0)=0),IF(IFERROR(IF(U253="",#N/A,U253),0)=0,"E","D"),IF($L253="DesignDataPlusQA","A",IF($L253="DesignData","B","C")))</f>
        <v>E</v>
      </c>
      <c r="BQ253" s="20" t="str">
        <f ca="1">OFFSET(Tab.Uncertainty.Levels!$A$1,MATCH(BQ$88,Tab.Uncertainty.Levels!$A:$A,0)-1,MATCH(BQ$87&amp;"_"&amp;BP253,Tab.Uncertainty.Levels!$1:$1,0)-1)</f>
        <v>Insulation available; no information about material and year of implementation</v>
      </c>
      <c r="BR253" s="97">
        <f ca="1">OFFSET(Tab.Uncertainty.Levels!$A$1,MATCH(BR$88,Tab.Uncertainty.Levels!$A:$A,0)-1,MATCH(BR$87&amp;"_"&amp;BP253,Tab.Uncertainty.Levels!$1:$1,0)-1)</f>
        <v>0.3</v>
      </c>
      <c r="BS253" s="32" t="str">
        <f>IF(L253="NoDataSource","D",IF(IFERROR(IF($T253="",#N/A,$T253),0)=0,IF(OR(IFERROR(IF($S253="",#N/A,$S253),0)&gt;0,$R253="Refurbish"),"D","E"),IF($L253="DesignDataPlusQA","A",IF($L253="DesignData","B","C"))))</f>
        <v>E</v>
      </c>
      <c r="BT253" s="20" t="str">
        <f ca="1">OFFSET(Tab.Uncertainty.Levels!$A$1,MATCH(BT$88,Tab.Uncertainty.Levels!$A:$A,0)-1,MATCH(BT$87&amp;"_"&amp;BS253,Tab.Uncertainty.Levels!$1:$1,0)-1)</f>
        <v>Unknown if insulation has been applied (default fraction value is the average insulation fraction for all buildings)</v>
      </c>
      <c r="BU253" s="33">
        <f ca="1">OFFSET(Tab.Uncertainty.Levels!$A$1,MATCH(BU$88,Tab.Uncertainty.Levels!$A:$A,0)-1,MATCH(BU$87&amp;"_"&amp;BS253,Tab.Uncertainty.Levels!$1:$1,0)-1)</f>
        <v>0.5</v>
      </c>
      <c r="BV253" s="13">
        <f ca="1">IFERROR(MIN(BU253/AW253,1,(1-AW253)/AW253),0)</f>
        <v>0</v>
      </c>
      <c r="BW253" s="96">
        <f ca="1">ABS(1+(AW253*(1/(1+AN253/100/AP253*AG253)^2-1)))*BJ253*$AG253</f>
        <v>0.36</v>
      </c>
      <c r="BX253" s="96">
        <f ca="1">ABS(-AG253+1/(1/AG253+AN253/100/AP253))*BV253*AW253</f>
        <v>0</v>
      </c>
      <c r="BY253" s="96">
        <f ca="1">ABS(-AW253*AP253/((AP253/AG253+AN253/100)^2))*(BO253*AN253/100)</f>
        <v>0</v>
      </c>
      <c r="BZ253" s="202">
        <f ca="1">ABS(AW253*AN253/100/(1/AG253*AP253+AN253/100)^2)*(BR253*AP253)</f>
        <v>0</v>
      </c>
      <c r="CA253" s="103">
        <f t="shared" ca="1" si="198"/>
        <v>0.36</v>
      </c>
      <c r="CB253" s="37">
        <f t="shared" ca="1" si="219"/>
        <v>0.3</v>
      </c>
      <c r="CC253" s="37">
        <f t="shared" ca="1" si="220"/>
        <v>0</v>
      </c>
      <c r="CD253" s="37">
        <f t="shared" ca="1" si="221"/>
        <v>0</v>
      </c>
      <c r="CE253" s="37">
        <f t="shared" ca="1" si="222"/>
        <v>0</v>
      </c>
      <c r="CF253" s="13">
        <f t="shared" ca="1" si="223"/>
        <v>0.3</v>
      </c>
      <c r="CG253" s="101">
        <f ca="1">AG253</f>
        <v>1.2</v>
      </c>
      <c r="CH253" s="101">
        <f>AW253</f>
        <v>0</v>
      </c>
      <c r="CI253" s="203">
        <f>IF(CH253&gt;0,AN253,0)</f>
        <v>0</v>
      </c>
      <c r="CJ253" s="102">
        <f>IF(AND(CH253&gt;0,CI253&gt;0),AP253,0)</f>
        <v>0</v>
      </c>
      <c r="CK253" s="102">
        <f ca="1">BB253</f>
        <v>1.2</v>
      </c>
      <c r="CL253" s="37">
        <f t="shared" ca="1" si="230"/>
        <v>0.3</v>
      </c>
      <c r="CM253" s="37">
        <f t="shared" ca="1" si="231"/>
        <v>0</v>
      </c>
      <c r="CN253" s="37">
        <f t="shared" ca="1" si="232"/>
        <v>0</v>
      </c>
      <c r="CO253" s="37">
        <f t="shared" ca="1" si="233"/>
        <v>0.3</v>
      </c>
      <c r="CP253" s="37">
        <f t="shared" ca="1" si="234"/>
        <v>0.3</v>
      </c>
      <c r="CQ253" s="95">
        <f t="shared" ca="1" si="235"/>
        <v>0.36</v>
      </c>
      <c r="CR253" s="95">
        <f t="shared" ca="1" si="236"/>
        <v>0</v>
      </c>
      <c r="CS253" s="95">
        <f t="shared" ca="1" si="237"/>
        <v>0</v>
      </c>
      <c r="CT253" s="103">
        <f t="shared" ca="1" si="238"/>
        <v>0</v>
      </c>
      <c r="CU253" s="95">
        <f t="shared" ca="1" si="239"/>
        <v>0.36</v>
      </c>
      <c r="CV253" s="37">
        <f ca="1">$CB253^2/$CF253^2</f>
        <v>1</v>
      </c>
      <c r="CW253" s="37">
        <f ca="1">$CD253^2/$CF253^2</f>
        <v>0</v>
      </c>
      <c r="CX253" s="37">
        <f ca="1">$CE253^2/$CF253^2</f>
        <v>0</v>
      </c>
      <c r="CY253" s="37">
        <f ca="1">$CC253^2/$CF253^2</f>
        <v>0</v>
      </c>
      <c r="DA253" s="98" t="s">
        <v>214</v>
      </c>
      <c r="DB253" s="36">
        <f ca="1">OFFSET($A$1,ROW(DB253)-1,MATCH(DA253,$1:$1,0)-1)</f>
        <v>0</v>
      </c>
      <c r="DC253" s="9">
        <f ca="1">BB253</f>
        <v>1.2</v>
      </c>
      <c r="DD253" s="9">
        <f ca="1">$DC253+$CA253</f>
        <v>1.56</v>
      </c>
      <c r="DE253" s="9">
        <f ca="1">$DC253-$CA253</f>
        <v>0.84</v>
      </c>
      <c r="DF253" s="10">
        <f t="shared" ca="1" si="181"/>
        <v>0.30000000000000004</v>
      </c>
    </row>
    <row r="254" spans="1:110" s="8" customFormat="1" ht="32.4" customHeight="1">
      <c r="A254" s="206" t="s">
        <v>690</v>
      </c>
      <c r="B254" s="209" t="s">
        <v>2347</v>
      </c>
      <c r="C254" s="206" t="str">
        <f t="shared" ca="1" si="240"/>
        <v>Parameter-Variation: Not refurbished / U_Original = 1,00 W/(m²K) - Year_Building = 1970</v>
      </c>
      <c r="D254" s="206"/>
      <c r="E254" s="206" t="s">
        <v>205</v>
      </c>
      <c r="F254" s="206" t="str">
        <f t="shared" ca="1" si="241"/>
        <v>1,00 W/(m²K) - Year_Building = 1970</v>
      </c>
      <c r="G254" s="206" t="s">
        <v>2170</v>
      </c>
      <c r="H254" s="206" t="s">
        <v>2171</v>
      </c>
      <c r="I254" s="156" t="s">
        <v>80</v>
      </c>
      <c r="J254" s="156" t="s">
        <v>134</v>
      </c>
      <c r="K254" s="156" t="s">
        <v>155</v>
      </c>
      <c r="L254" s="156" t="s">
        <v>66</v>
      </c>
      <c r="M254" s="156" t="s">
        <v>188</v>
      </c>
      <c r="N254" s="7">
        <v>1970</v>
      </c>
      <c r="O254" s="156">
        <v>1</v>
      </c>
      <c r="P254" s="156">
        <v>0</v>
      </c>
      <c r="Q254" s="156" t="s">
        <v>435</v>
      </c>
      <c r="R254" s="156" t="s">
        <v>204</v>
      </c>
      <c r="S254" s="19">
        <v>0</v>
      </c>
      <c r="T254" s="19">
        <v>0</v>
      </c>
      <c r="U254" s="19" t="e">
        <v>#N/A</v>
      </c>
      <c r="V254" s="19" t="e">
        <v>#N/A</v>
      </c>
      <c r="W254" s="28" t="s">
        <v>41</v>
      </c>
      <c r="X254" s="19" t="e">
        <v>#N/A</v>
      </c>
      <c r="Y254" s="105">
        <f ca="1">IFERROR(OFFSET(Tab.Const.ConstrBorder!$A$1,MATCH(Q254,Tab.Const.ConstrBorder!$A:$A,0)-1,MATCH(Y$87,Tab.Const.ConstrBorder!$1:$1,0)-1),0)</f>
        <v>0</v>
      </c>
      <c r="Z254" s="18">
        <f t="shared" si="188"/>
        <v>1970</v>
      </c>
      <c r="AA254" s="17">
        <f>MATCH(Z254,Tab.Year.Period!$11:$11,1)-3</f>
        <v>6</v>
      </c>
      <c r="AB254" s="17">
        <f>MATCH(AB$88&amp;"."&amp;TEXT(AA254,"00"),Tab.U.Default!$A:$A,0)</f>
        <v>29</v>
      </c>
      <c r="AC254" s="105">
        <f ca="1">OFFSET(Tab.U.Default!$A$1,$AB254-1,MATCH("U_Class_"&amp;IF($J254="TopCeiling","UpperCeiling",$J254)&amp;"_"&amp;AC$87,Tab.U.Default!$1:$1,0)-1)</f>
        <v>1</v>
      </c>
      <c r="AD254" s="105">
        <f ca="1">OFFSET(Tab.U.Default!$A$1,$AB254-1,MATCH("U_Class_"&amp;IF($J254="TopCeiling","UpperCeiling",$J254)&amp;"_"&amp;AD$87,Tab.U.Default!$1:$1,0)-1)</f>
        <v>1</v>
      </c>
      <c r="AE254" s="105">
        <f ca="1">OFFSET(Tab.U.Default!$A$1,$AB254-1,MATCH("U_Class_"&amp;IF($J254="TopCeiling","UpperCeiling",$J254)&amp;"_"&amp;AE$87,Tab.U.Default!$1:$1,0)-1)</f>
        <v>0.6</v>
      </c>
      <c r="AF254" s="26">
        <f t="shared" ca="1" si="189"/>
        <v>1</v>
      </c>
      <c r="AG254" s="26">
        <f t="shared" ca="1" si="229"/>
        <v>1</v>
      </c>
      <c r="AH254" s="18" t="str">
        <f t="shared" si="211"/>
        <v>Original</v>
      </c>
      <c r="AI254" s="18" t="str">
        <f t="shared" si="191"/>
        <v>ReplaceInsulation</v>
      </c>
      <c r="AJ254" s="18">
        <f t="shared" si="192"/>
        <v>1970</v>
      </c>
      <c r="AK254" s="17">
        <f>MATCH(AJ254,Tab.Year.Period!$11:$11,1)-3</f>
        <v>6</v>
      </c>
      <c r="AL254" s="17">
        <f>MATCH(AL$88&amp;"."&amp;TEXT(AK254,"00"),Tab.Insulation.Default!$A:$A,0)</f>
        <v>17</v>
      </c>
      <c r="AM254" s="20" t="e">
        <f ca="1">IF(ISNA(IF(S254="",#N/A,S254)),OFFSET(Tab.Insulation.Default!$A$1,$AL254-1,MATCH(AM$87&amp;"_"&amp;$K254,Tab.Insulation.Default!$1:$1,0)-1),#N/A)</f>
        <v>#N/A</v>
      </c>
      <c r="AN254" s="27">
        <f t="shared" si="193"/>
        <v>0</v>
      </c>
      <c r="AO254" s="22">
        <f ca="1">IF(ISNA(IF(V254="",#N/A,V254)),OFFSET(Tab.Insulation.Default!$A$1,$AL254-1,MATCH(AO$87&amp;"_"&amp;$K254,Tab.Insulation.Default!$1:$1,0)-1),#N/A)</f>
        <v>4.4999999999999998E-2</v>
      </c>
      <c r="AP254" s="23">
        <f t="shared" ca="1" si="194"/>
        <v>4.4999999999999998E-2</v>
      </c>
      <c r="AQ254" s="29" t="str">
        <f t="shared" si="212"/>
        <v>Gen.Refurbished.06</v>
      </c>
      <c r="AR254" s="17">
        <f>MATCH(AR$88&amp;"."&amp;AQ254,Tab.Measure.f.Default!$A:$A,0)</f>
        <v>17</v>
      </c>
      <c r="AS254" s="21">
        <f ca="1">OFFSET(Tab.Measure.f.Default!$A$1,AR254-1,MATCH(AS$87&amp;"_"&amp;$J254,Tab.Measure.f.Default!$1:$1,0)-1)</f>
        <v>0.75</v>
      </c>
      <c r="AT254" s="29" t="str">
        <f t="shared" si="213"/>
        <v>MUH.NA.06</v>
      </c>
      <c r="AU254" s="17">
        <f>MATCH(AU$88&amp;"."&amp;AT254,Tab.Measure.f.Default!$A:$A,0)</f>
        <v>41</v>
      </c>
      <c r="AV254" s="21">
        <f ca="1">OFFSET(Tab.Measure.f.Default!$A$1,AU254-1,MATCH(AV$87&amp;"_"&amp;$J254,Tab.Measure.f.Default!$1:$1,0)-1)</f>
        <v>0.37</v>
      </c>
      <c r="AW254" s="30">
        <f t="shared" si="195"/>
        <v>0</v>
      </c>
      <c r="AX254" s="9">
        <f t="shared" ca="1" si="214"/>
        <v>1</v>
      </c>
      <c r="AY254" s="9">
        <f t="shared" si="215"/>
        <v>0</v>
      </c>
      <c r="AZ254" s="9">
        <f t="shared" ca="1" si="242"/>
        <v>1</v>
      </c>
      <c r="BA254" s="9">
        <f t="shared" ca="1" si="243"/>
        <v>1</v>
      </c>
      <c r="BB254" s="9">
        <f t="shared" ca="1" si="216"/>
        <v>1</v>
      </c>
      <c r="BC254" s="32" t="str">
        <f t="shared" si="217"/>
        <v>D</v>
      </c>
      <c r="BD254" s="20" t="str">
        <f ca="1">OFFSET(Tab.Uncertainty.Levels!$A$1,MATCH(BD$88,Tab.Uncertainty.Levels!$A:$A,0)-1,MATCH(BD$87&amp;"_"&amp;BC254,Tab.Uncertainty.Levels!$1:$1,0)-1)</f>
        <v>Use of default values; building constructed until 1983</v>
      </c>
      <c r="BE254" s="24">
        <f ca="1">OFFSET(Tab.Uncertainty.Levels!$A$1,MATCH(BE$88,Tab.Uncertainty.Levels!$A:$A,0)-1,MATCH(BE$87&amp;"_"&amp;BC254,Tab.Uncertainty.Levels!$1:$1,0)-1)</f>
        <v>0.3</v>
      </c>
      <c r="BF254" s="32" t="str">
        <f t="shared" si="218"/>
        <v>-</v>
      </c>
      <c r="BG254" s="20" t="e">
        <f ca="1">OFFSET(Tab.Uncertainty.Levels!$A$1,MATCH(BG$88,Tab.Uncertainty.Levels!$A:$A,0)-1,MATCH(BG$87&amp;"_"&amp;BF254,Tab.Uncertainty.Levels!$1:$1,0)-1)</f>
        <v>#N/A</v>
      </c>
      <c r="BH254" s="24" t="e">
        <f ca="1">OFFSET(Tab.Uncertainty.Levels!$A$1,MATCH(BH$88,Tab.Uncertainty.Levels!$A:$A,0)-1,MATCH(BH$87&amp;"_"&amp;BF254,Tab.Uncertainty.Levels!$1:$1,0)-1)</f>
        <v>#N/A</v>
      </c>
      <c r="BI254" s="32" t="str">
        <f t="shared" si="224"/>
        <v>D</v>
      </c>
      <c r="BJ254" s="13">
        <f ca="1">IF(BF254="-",BE254,BH254)</f>
        <v>0.3</v>
      </c>
      <c r="BK254" s="32" t="str">
        <f>IF(OR($L254="NoDataSource",IFERROR(IF($S254="",#N/A,$S254),0)=0),IF(IFERROR(IF(U254="",#N/A,U254),0)=0,"E","D"),IF($L254="DesignDataPlusQA","A",IF($L254="DesignData","B","C")))</f>
        <v>E</v>
      </c>
      <c r="BL254" s="20" t="str">
        <f ca="1">OFFSET(Tab.Uncertainty.Levels!$A$1,MATCH(BL$88,Tab.Uncertainty.Levels!$A:$A,0)-1,MATCH(BL$87&amp;"_"&amp;BK254,Tab.Uncertainty.Levels!$1:$1,0)-1)</f>
        <v>Insulation available; insulation thickness and year of implementation unknown</v>
      </c>
      <c r="BM254" s="24">
        <f ca="1">OFFSET(Tab.Uncertainty.Levels!$A$1,MATCH(BM$88,Tab.Uncertainty.Levels!$A:$A,0)-1,MATCH(BM$87&amp;"_"&amp;BK254,Tab.Uncertainty.Levels!$1:$1,0)-1)</f>
        <v>0.5</v>
      </c>
      <c r="BN254" s="34">
        <f ca="1">OFFSET(Tab.Uncertainty.Levels!$A$1,MATCH(BN$88,Tab.Uncertainty.Levels!$A:$A,0)-1,MATCH(BN$87&amp;"_"&amp;BK254,Tab.Uncertainty.Levels!$1:$1,0)-1)</f>
        <v>8</v>
      </c>
      <c r="BO254" s="13">
        <f ca="1">IFERROR(MIN(BM254,BN254/AN254),0)</f>
        <v>0</v>
      </c>
      <c r="BP254" s="32" t="str">
        <f>IF(OR($L254="NoDataSource",IFERROR(IF($V254="",#N/A,$V254),0)=0),IF(IFERROR(IF(U254="",#N/A,U254),0)=0,"E","D"),IF($L254="DesignDataPlusQA","A",IF($L254="DesignData","B","C")))</f>
        <v>E</v>
      </c>
      <c r="BQ254" s="20" t="str">
        <f ca="1">OFFSET(Tab.Uncertainty.Levels!$A$1,MATCH(BQ$88,Tab.Uncertainty.Levels!$A:$A,0)-1,MATCH(BQ$87&amp;"_"&amp;BP254,Tab.Uncertainty.Levels!$1:$1,0)-1)</f>
        <v>Insulation available; no information about material and year of implementation</v>
      </c>
      <c r="BR254" s="97">
        <f ca="1">OFFSET(Tab.Uncertainty.Levels!$A$1,MATCH(BR$88,Tab.Uncertainty.Levels!$A:$A,0)-1,MATCH(BR$87&amp;"_"&amp;BP254,Tab.Uncertainty.Levels!$1:$1,0)-1)</f>
        <v>0.3</v>
      </c>
      <c r="BS254" s="32" t="str">
        <f>IF(L254="NoDataSource","D",IF(IFERROR(IF($T254="",#N/A,$T254),0)=0,IF(OR(IFERROR(IF($S254="",#N/A,$S254),0)&gt;0,$R254="Refurbish"),"D","E"),IF($L254="DesignDataPlusQA","A",IF($L254="DesignData","B","C"))))</f>
        <v>E</v>
      </c>
      <c r="BT254" s="20" t="str">
        <f ca="1">OFFSET(Tab.Uncertainty.Levels!$A$1,MATCH(BT$88,Tab.Uncertainty.Levels!$A:$A,0)-1,MATCH(BT$87&amp;"_"&amp;BS254,Tab.Uncertainty.Levels!$1:$1,0)-1)</f>
        <v>Unknown if insulation has been applied (default fraction value is the average insulation fraction for all buildings)</v>
      </c>
      <c r="BU254" s="33">
        <f ca="1">OFFSET(Tab.Uncertainty.Levels!$A$1,MATCH(BU$88,Tab.Uncertainty.Levels!$A:$A,0)-1,MATCH(BU$87&amp;"_"&amp;BS254,Tab.Uncertainty.Levels!$1:$1,0)-1)</f>
        <v>0.5</v>
      </c>
      <c r="BV254" s="13">
        <f ca="1">IFERROR(MIN(BU254/AW254,1,(1-AW254)/AW254),0)</f>
        <v>0</v>
      </c>
      <c r="BW254" s="96">
        <f ca="1">ABS(1+(AW254*(1/(1+AN254/100/AP254*AG254)^2-1)))*BJ254*$AG254</f>
        <v>0.3</v>
      </c>
      <c r="BX254" s="96">
        <f ca="1">ABS(-AG254+1/(1/AG254+AN254/100/AP254))*BV254*AW254</f>
        <v>0</v>
      </c>
      <c r="BY254" s="96">
        <f ca="1">ABS(-AW254*AP254/((AP254/AG254+AN254/100)^2))*(BO254*AN254/100)</f>
        <v>0</v>
      </c>
      <c r="BZ254" s="202">
        <f ca="1">ABS(AW254*AN254/100/(1/AG254*AP254+AN254/100)^2)*(BR254*AP254)</f>
        <v>0</v>
      </c>
      <c r="CA254" s="103">
        <f t="shared" ca="1" si="198"/>
        <v>0.3</v>
      </c>
      <c r="CB254" s="37">
        <f t="shared" ca="1" si="219"/>
        <v>0.3</v>
      </c>
      <c r="CC254" s="37">
        <f t="shared" ca="1" si="220"/>
        <v>0</v>
      </c>
      <c r="CD254" s="37">
        <f t="shared" ca="1" si="221"/>
        <v>0</v>
      </c>
      <c r="CE254" s="37">
        <f t="shared" ca="1" si="222"/>
        <v>0</v>
      </c>
      <c r="CF254" s="13">
        <f t="shared" ca="1" si="223"/>
        <v>0.3</v>
      </c>
      <c r="CG254" s="101">
        <f ca="1">AG254</f>
        <v>1</v>
      </c>
      <c r="CH254" s="101">
        <f>AW254</f>
        <v>0</v>
      </c>
      <c r="CI254" s="203">
        <f>IF(CH254&gt;0,AN254,0)</f>
        <v>0</v>
      </c>
      <c r="CJ254" s="102">
        <f>IF(AND(CH254&gt;0,CI254&gt;0),AP254,0)</f>
        <v>0</v>
      </c>
      <c r="CK254" s="102">
        <f ca="1">BB254</f>
        <v>1</v>
      </c>
      <c r="CL254" s="37">
        <f t="shared" ca="1" si="230"/>
        <v>0.3</v>
      </c>
      <c r="CM254" s="37">
        <f t="shared" ca="1" si="231"/>
        <v>0</v>
      </c>
      <c r="CN254" s="37">
        <f t="shared" ca="1" si="232"/>
        <v>0</v>
      </c>
      <c r="CO254" s="37">
        <f t="shared" ca="1" si="233"/>
        <v>0.3</v>
      </c>
      <c r="CP254" s="37">
        <f t="shared" ca="1" si="234"/>
        <v>0.3</v>
      </c>
      <c r="CQ254" s="95">
        <f t="shared" ca="1" si="235"/>
        <v>0.3</v>
      </c>
      <c r="CR254" s="95">
        <f t="shared" ca="1" si="236"/>
        <v>0</v>
      </c>
      <c r="CS254" s="95">
        <f t="shared" ca="1" si="237"/>
        <v>0</v>
      </c>
      <c r="CT254" s="103">
        <f t="shared" ca="1" si="238"/>
        <v>0</v>
      </c>
      <c r="CU254" s="95">
        <f t="shared" ca="1" si="239"/>
        <v>0.3</v>
      </c>
      <c r="CV254" s="37">
        <f ca="1">$CB254^2/$CF254^2</f>
        <v>1</v>
      </c>
      <c r="CW254" s="37">
        <f ca="1">$CD254^2/$CF254^2</f>
        <v>0</v>
      </c>
      <c r="CX254" s="37">
        <f ca="1">$CE254^2/$CF254^2</f>
        <v>0</v>
      </c>
      <c r="CY254" s="37">
        <f ca="1">$CC254^2/$CF254^2</f>
        <v>0</v>
      </c>
      <c r="DA254" s="98" t="s">
        <v>214</v>
      </c>
      <c r="DB254" s="36">
        <f ca="1">OFFSET($A$1,ROW(DB254)-1,MATCH(DA254,$1:$1,0)-1)</f>
        <v>0</v>
      </c>
      <c r="DC254" s="9">
        <f ca="1">BB254</f>
        <v>1</v>
      </c>
      <c r="DD254" s="9">
        <f ca="1">$DC254+$CA254</f>
        <v>1.3</v>
      </c>
      <c r="DE254" s="9">
        <f ca="1">$DC254-$CA254</f>
        <v>0.7</v>
      </c>
      <c r="DF254" s="10">
        <f t="shared" ca="1" si="181"/>
        <v>0.30000000000000004</v>
      </c>
    </row>
    <row r="255" spans="1:110" s="8" customFormat="1" ht="32.4" customHeight="1">
      <c r="A255" s="206" t="s">
        <v>691</v>
      </c>
      <c r="B255" s="209" t="s">
        <v>2347</v>
      </c>
      <c r="C255" s="206" t="str">
        <f t="shared" ca="1" si="240"/>
        <v>Parameter-Variation: Not refurbished / U_Original = 0,80 W/(m²K) - Year_Building = 1980</v>
      </c>
      <c r="D255" s="206"/>
      <c r="E255" s="206" t="s">
        <v>205</v>
      </c>
      <c r="F255" s="206" t="str">
        <f t="shared" ca="1" si="241"/>
        <v>0,80 W/(m²K) - Year_Building = 1980</v>
      </c>
      <c r="G255" s="206" t="s">
        <v>2170</v>
      </c>
      <c r="H255" s="206" t="s">
        <v>2171</v>
      </c>
      <c r="I255" s="156" t="s">
        <v>80</v>
      </c>
      <c r="J255" s="156" t="s">
        <v>134</v>
      </c>
      <c r="K255" s="156" t="s">
        <v>155</v>
      </c>
      <c r="L255" s="156" t="s">
        <v>66</v>
      </c>
      <c r="M255" s="156" t="s">
        <v>188</v>
      </c>
      <c r="N255" s="7">
        <v>1980</v>
      </c>
      <c r="O255" s="156">
        <v>1</v>
      </c>
      <c r="P255" s="156">
        <v>0</v>
      </c>
      <c r="Q255" s="156" t="s">
        <v>435</v>
      </c>
      <c r="R255" s="156" t="s">
        <v>204</v>
      </c>
      <c r="S255" s="19">
        <v>0</v>
      </c>
      <c r="T255" s="19">
        <v>0</v>
      </c>
      <c r="U255" s="19" t="e">
        <v>#N/A</v>
      </c>
      <c r="V255" s="19" t="e">
        <v>#N/A</v>
      </c>
      <c r="W255" s="28" t="s">
        <v>41</v>
      </c>
      <c r="X255" s="19" t="e">
        <v>#N/A</v>
      </c>
      <c r="Y255" s="105">
        <f ca="1">IFERROR(OFFSET(Tab.Const.ConstrBorder!$A$1,MATCH(Q255,Tab.Const.ConstrBorder!$A:$A,0)-1,MATCH(Y$87,Tab.Const.ConstrBorder!$1:$1,0)-1),0)</f>
        <v>0</v>
      </c>
      <c r="Z255" s="18">
        <f t="shared" si="188"/>
        <v>1980</v>
      </c>
      <c r="AA255" s="17">
        <f>MATCH(Z255,Tab.Year.Period!$11:$11,1)-3</f>
        <v>7</v>
      </c>
      <c r="AB255" s="17">
        <f>MATCH(AB$88&amp;"."&amp;TEXT(AA255,"00"),Tab.U.Default!$A:$A,0)</f>
        <v>30</v>
      </c>
      <c r="AC255" s="105">
        <f ca="1">OFFSET(Tab.U.Default!$A$1,$AB255-1,MATCH("U_Class_"&amp;IF($J255="TopCeiling","UpperCeiling",$J255)&amp;"_"&amp;AC$87,Tab.U.Default!$1:$1,0)-1)</f>
        <v>0.8</v>
      </c>
      <c r="AD255" s="105">
        <f ca="1">OFFSET(Tab.U.Default!$A$1,$AB255-1,MATCH("U_Class_"&amp;IF($J255="TopCeiling","UpperCeiling",$J255)&amp;"_"&amp;AD$87,Tab.U.Default!$1:$1,0)-1)</f>
        <v>0.8</v>
      </c>
      <c r="AE255" s="105">
        <f ca="1">OFFSET(Tab.U.Default!$A$1,$AB255-1,MATCH("U_Class_"&amp;IF($J255="TopCeiling","UpperCeiling",$J255)&amp;"_"&amp;AE$87,Tab.U.Default!$1:$1,0)-1)</f>
        <v>0.5</v>
      </c>
      <c r="AF255" s="26">
        <f t="shared" ca="1" si="189"/>
        <v>0.8</v>
      </c>
      <c r="AG255" s="26">
        <f t="shared" ca="1" si="229"/>
        <v>0.8</v>
      </c>
      <c r="AH255" s="18" t="str">
        <f t="shared" si="211"/>
        <v>Original</v>
      </c>
      <c r="AI255" s="18" t="str">
        <f t="shared" si="191"/>
        <v>ReplaceInsulation</v>
      </c>
      <c r="AJ255" s="18">
        <f t="shared" si="192"/>
        <v>1980</v>
      </c>
      <c r="AK255" s="17">
        <f>MATCH(AJ255,Tab.Year.Period!$11:$11,1)-3</f>
        <v>7</v>
      </c>
      <c r="AL255" s="17">
        <f>MATCH(AL$88&amp;"."&amp;TEXT(AK255,"00"),Tab.Insulation.Default!$A:$A,0)</f>
        <v>18</v>
      </c>
      <c r="AM255" s="20" t="e">
        <f ca="1">IF(ISNA(IF(S255="",#N/A,S255)),OFFSET(Tab.Insulation.Default!$A$1,$AL255-1,MATCH(AM$87&amp;"_"&amp;$K255,Tab.Insulation.Default!$1:$1,0)-1),#N/A)</f>
        <v>#N/A</v>
      </c>
      <c r="AN255" s="27">
        <f t="shared" si="193"/>
        <v>0</v>
      </c>
      <c r="AO255" s="22">
        <f ca="1">IF(ISNA(IF(V255="",#N/A,V255)),OFFSET(Tab.Insulation.Default!$A$1,$AL255-1,MATCH(AO$87&amp;"_"&amp;$K255,Tab.Insulation.Default!$1:$1,0)-1),#N/A)</f>
        <v>4.4999999999999998E-2</v>
      </c>
      <c r="AP255" s="23">
        <f t="shared" ca="1" si="194"/>
        <v>4.4999999999999998E-2</v>
      </c>
      <c r="AQ255" s="29" t="str">
        <f t="shared" si="212"/>
        <v>Gen.Refurbished.07</v>
      </c>
      <c r="AR255" s="17">
        <f>MATCH(AR$88&amp;"."&amp;AQ255,Tab.Measure.f.Default!$A:$A,0)</f>
        <v>18</v>
      </c>
      <c r="AS255" s="21">
        <f ca="1">OFFSET(Tab.Measure.f.Default!$A$1,AR255-1,MATCH(AS$87&amp;"_"&amp;$J255,Tab.Measure.f.Default!$1:$1,0)-1)</f>
        <v>0.75</v>
      </c>
      <c r="AT255" s="29" t="str">
        <f t="shared" si="213"/>
        <v>MUH.NA.07</v>
      </c>
      <c r="AU255" s="17">
        <f>MATCH(AU$88&amp;"."&amp;AT255,Tab.Measure.f.Default!$A:$A,0)</f>
        <v>42</v>
      </c>
      <c r="AV255" s="21">
        <f ca="1">OFFSET(Tab.Measure.f.Default!$A$1,AU255-1,MATCH(AV$87&amp;"_"&amp;$J255,Tab.Measure.f.Default!$1:$1,0)-1)</f>
        <v>0.1</v>
      </c>
      <c r="AW255" s="30">
        <f t="shared" si="195"/>
        <v>0</v>
      </c>
      <c r="AX255" s="9">
        <f t="shared" ca="1" si="214"/>
        <v>1.25</v>
      </c>
      <c r="AY255" s="9">
        <f t="shared" si="215"/>
        <v>0</v>
      </c>
      <c r="AZ255" s="9">
        <f t="shared" ca="1" si="242"/>
        <v>1.25</v>
      </c>
      <c r="BA255" s="9">
        <f t="shared" ca="1" si="243"/>
        <v>0.8</v>
      </c>
      <c r="BB255" s="9">
        <f t="shared" ca="1" si="216"/>
        <v>0.8</v>
      </c>
      <c r="BC255" s="32" t="str">
        <f t="shared" si="217"/>
        <v>D</v>
      </c>
      <c r="BD255" s="20" t="str">
        <f ca="1">OFFSET(Tab.Uncertainty.Levels!$A$1,MATCH(BD$88,Tab.Uncertainty.Levels!$A:$A,0)-1,MATCH(BD$87&amp;"_"&amp;BC255,Tab.Uncertainty.Levels!$1:$1,0)-1)</f>
        <v>Use of default values; building constructed until 1983</v>
      </c>
      <c r="BE255" s="24">
        <f ca="1">OFFSET(Tab.Uncertainty.Levels!$A$1,MATCH(BE$88,Tab.Uncertainty.Levels!$A:$A,0)-1,MATCH(BE$87&amp;"_"&amp;BC255,Tab.Uncertainty.Levels!$1:$1,0)-1)</f>
        <v>0.3</v>
      </c>
      <c r="BF255" s="32" t="str">
        <f t="shared" si="218"/>
        <v>-</v>
      </c>
      <c r="BG255" s="20" t="e">
        <f ca="1">OFFSET(Tab.Uncertainty.Levels!$A$1,MATCH(BG$88,Tab.Uncertainty.Levels!$A:$A,0)-1,MATCH(BG$87&amp;"_"&amp;BF255,Tab.Uncertainty.Levels!$1:$1,0)-1)</f>
        <v>#N/A</v>
      </c>
      <c r="BH255" s="24" t="e">
        <f ca="1">OFFSET(Tab.Uncertainty.Levels!$A$1,MATCH(BH$88,Tab.Uncertainty.Levels!$A:$A,0)-1,MATCH(BH$87&amp;"_"&amp;BF255,Tab.Uncertainty.Levels!$1:$1,0)-1)</f>
        <v>#N/A</v>
      </c>
      <c r="BI255" s="32" t="str">
        <f t="shared" si="224"/>
        <v>D</v>
      </c>
      <c r="BJ255" s="13">
        <f ca="1">IF(BF255="-",BE255,BH255)</f>
        <v>0.3</v>
      </c>
      <c r="BK255" s="32" t="str">
        <f>IF(OR($L255="NoDataSource",IFERROR(IF($S255="",#N/A,$S255),0)=0),IF(IFERROR(IF(U255="",#N/A,U255),0)=0,"E","D"),IF($L255="DesignDataPlusQA","A",IF($L255="DesignData","B","C")))</f>
        <v>E</v>
      </c>
      <c r="BL255" s="20" t="str">
        <f ca="1">OFFSET(Tab.Uncertainty.Levels!$A$1,MATCH(BL$88,Tab.Uncertainty.Levels!$A:$A,0)-1,MATCH(BL$87&amp;"_"&amp;BK255,Tab.Uncertainty.Levels!$1:$1,0)-1)</f>
        <v>Insulation available; insulation thickness and year of implementation unknown</v>
      </c>
      <c r="BM255" s="24">
        <f ca="1">OFFSET(Tab.Uncertainty.Levels!$A$1,MATCH(BM$88,Tab.Uncertainty.Levels!$A:$A,0)-1,MATCH(BM$87&amp;"_"&amp;BK255,Tab.Uncertainty.Levels!$1:$1,0)-1)</f>
        <v>0.5</v>
      </c>
      <c r="BN255" s="34">
        <f ca="1">OFFSET(Tab.Uncertainty.Levels!$A$1,MATCH(BN$88,Tab.Uncertainty.Levels!$A:$A,0)-1,MATCH(BN$87&amp;"_"&amp;BK255,Tab.Uncertainty.Levels!$1:$1,0)-1)</f>
        <v>8</v>
      </c>
      <c r="BO255" s="13">
        <f ca="1">IFERROR(MIN(BM255,BN255/AN255),0)</f>
        <v>0</v>
      </c>
      <c r="BP255" s="32" t="str">
        <f>IF(OR($L255="NoDataSource",IFERROR(IF($V255="",#N/A,$V255),0)=0),IF(IFERROR(IF(U255="",#N/A,U255),0)=0,"E","D"),IF($L255="DesignDataPlusQA","A",IF($L255="DesignData","B","C")))</f>
        <v>E</v>
      </c>
      <c r="BQ255" s="20" t="str">
        <f ca="1">OFFSET(Tab.Uncertainty.Levels!$A$1,MATCH(BQ$88,Tab.Uncertainty.Levels!$A:$A,0)-1,MATCH(BQ$87&amp;"_"&amp;BP255,Tab.Uncertainty.Levels!$1:$1,0)-1)</f>
        <v>Insulation available; no information about material and year of implementation</v>
      </c>
      <c r="BR255" s="97">
        <f ca="1">OFFSET(Tab.Uncertainty.Levels!$A$1,MATCH(BR$88,Tab.Uncertainty.Levels!$A:$A,0)-1,MATCH(BR$87&amp;"_"&amp;BP255,Tab.Uncertainty.Levels!$1:$1,0)-1)</f>
        <v>0.3</v>
      </c>
      <c r="BS255" s="32" t="str">
        <f>IF(L255="NoDataSource","D",IF(IFERROR(IF($T255="",#N/A,$T255),0)=0,IF(OR(IFERROR(IF($S255="",#N/A,$S255),0)&gt;0,$R255="Refurbish"),"D","E"),IF($L255="DesignDataPlusQA","A",IF($L255="DesignData","B","C"))))</f>
        <v>E</v>
      </c>
      <c r="BT255" s="20" t="str">
        <f ca="1">OFFSET(Tab.Uncertainty.Levels!$A$1,MATCH(BT$88,Tab.Uncertainty.Levels!$A:$A,0)-1,MATCH(BT$87&amp;"_"&amp;BS255,Tab.Uncertainty.Levels!$1:$1,0)-1)</f>
        <v>Unknown if insulation has been applied (default fraction value is the average insulation fraction for all buildings)</v>
      </c>
      <c r="BU255" s="33">
        <f ca="1">OFFSET(Tab.Uncertainty.Levels!$A$1,MATCH(BU$88,Tab.Uncertainty.Levels!$A:$A,0)-1,MATCH(BU$87&amp;"_"&amp;BS255,Tab.Uncertainty.Levels!$1:$1,0)-1)</f>
        <v>0.5</v>
      </c>
      <c r="BV255" s="13">
        <f ca="1">IFERROR(MIN(BU255/AW255,1,(1-AW255)/AW255),0)</f>
        <v>0</v>
      </c>
      <c r="BW255" s="96">
        <f ca="1">ABS(1+(AW255*(1/(1+AN255/100/AP255*AG255)^2-1)))*BJ255*$AG255</f>
        <v>0.24</v>
      </c>
      <c r="BX255" s="96">
        <f ca="1">ABS(-AG255+1/(1/AG255+AN255/100/AP255))*BV255*AW255</f>
        <v>0</v>
      </c>
      <c r="BY255" s="96">
        <f ca="1">ABS(-AW255*AP255/((AP255/AG255+AN255/100)^2))*(BO255*AN255/100)</f>
        <v>0</v>
      </c>
      <c r="BZ255" s="202">
        <f ca="1">ABS(AW255*AN255/100/(1/AG255*AP255+AN255/100)^2)*(BR255*AP255)</f>
        <v>0</v>
      </c>
      <c r="CA255" s="103">
        <f t="shared" ca="1" si="198"/>
        <v>0.24</v>
      </c>
      <c r="CB255" s="37">
        <f t="shared" ca="1" si="219"/>
        <v>0.3</v>
      </c>
      <c r="CC255" s="37">
        <f t="shared" ca="1" si="220"/>
        <v>0</v>
      </c>
      <c r="CD255" s="37">
        <f t="shared" ca="1" si="221"/>
        <v>0</v>
      </c>
      <c r="CE255" s="37">
        <f t="shared" ca="1" si="222"/>
        <v>0</v>
      </c>
      <c r="CF255" s="13">
        <f t="shared" ca="1" si="223"/>
        <v>0.3</v>
      </c>
      <c r="CG255" s="101">
        <f ca="1">AG255</f>
        <v>0.8</v>
      </c>
      <c r="CH255" s="101">
        <f>AW255</f>
        <v>0</v>
      </c>
      <c r="CI255" s="203">
        <f>IF(CH255&gt;0,AN255,0)</f>
        <v>0</v>
      </c>
      <c r="CJ255" s="102">
        <f>IF(AND(CH255&gt;0,CI255&gt;0),AP255,0)</f>
        <v>0</v>
      </c>
      <c r="CK255" s="102">
        <f ca="1">BB255</f>
        <v>0.8</v>
      </c>
      <c r="CL255" s="37">
        <f t="shared" ca="1" si="230"/>
        <v>0.3</v>
      </c>
      <c r="CM255" s="37">
        <f t="shared" ca="1" si="231"/>
        <v>0</v>
      </c>
      <c r="CN255" s="37">
        <f t="shared" ca="1" si="232"/>
        <v>0</v>
      </c>
      <c r="CO255" s="37">
        <f t="shared" ca="1" si="233"/>
        <v>0.3</v>
      </c>
      <c r="CP255" s="37">
        <f t="shared" ca="1" si="234"/>
        <v>0.3</v>
      </c>
      <c r="CQ255" s="95">
        <f t="shared" ca="1" si="235"/>
        <v>0.24</v>
      </c>
      <c r="CR255" s="95">
        <f t="shared" ca="1" si="236"/>
        <v>0</v>
      </c>
      <c r="CS255" s="95">
        <f t="shared" ca="1" si="237"/>
        <v>0</v>
      </c>
      <c r="CT255" s="103">
        <f t="shared" ca="1" si="238"/>
        <v>0</v>
      </c>
      <c r="CU255" s="95">
        <f t="shared" ca="1" si="239"/>
        <v>0.24</v>
      </c>
      <c r="CV255" s="37">
        <f ca="1">$CB255^2/$CF255^2</f>
        <v>1</v>
      </c>
      <c r="CW255" s="37">
        <f ca="1">$CD255^2/$CF255^2</f>
        <v>0</v>
      </c>
      <c r="CX255" s="37">
        <f ca="1">$CE255^2/$CF255^2</f>
        <v>0</v>
      </c>
      <c r="CY255" s="37">
        <f ca="1">$CC255^2/$CF255^2</f>
        <v>0</v>
      </c>
      <c r="DA255" s="98" t="s">
        <v>214</v>
      </c>
      <c r="DB255" s="36">
        <f ca="1">OFFSET($A$1,ROW(DB255)-1,MATCH(DA255,$1:$1,0)-1)</f>
        <v>0</v>
      </c>
      <c r="DC255" s="9">
        <f ca="1">BB255</f>
        <v>0.8</v>
      </c>
      <c r="DD255" s="9">
        <f ca="1">$DC255+$CA255</f>
        <v>1.04</v>
      </c>
      <c r="DE255" s="9">
        <f ca="1">$DC255-$CA255</f>
        <v>0.56000000000000005</v>
      </c>
      <c r="DF255" s="10">
        <f t="shared" ca="1" si="181"/>
        <v>0.3</v>
      </c>
    </row>
    <row r="256" spans="1:110" s="8" customFormat="1" ht="32.4" customHeight="1">
      <c r="A256" s="206" t="s">
        <v>692</v>
      </c>
      <c r="B256" s="209" t="s">
        <v>2347</v>
      </c>
      <c r="C256" s="206" t="str">
        <f t="shared" si="240"/>
        <v>Parameter-Variation: Code_DataSources = DesignDataPlusQA</v>
      </c>
      <c r="D256" s="206"/>
      <c r="E256" s="206" t="s">
        <v>202</v>
      </c>
      <c r="F256" s="206" t="str">
        <f>L256</f>
        <v>DesignDataPlusQA</v>
      </c>
      <c r="G256" s="206" t="s">
        <v>2170</v>
      </c>
      <c r="H256" s="206" t="s">
        <v>2171</v>
      </c>
      <c r="I256" s="156" t="s">
        <v>80</v>
      </c>
      <c r="J256" s="156" t="s">
        <v>134</v>
      </c>
      <c r="K256" s="156" t="s">
        <v>155</v>
      </c>
      <c r="L256" s="156" t="s">
        <v>68</v>
      </c>
      <c r="M256" s="156" t="s">
        <v>188</v>
      </c>
      <c r="N256" s="7">
        <v>1960</v>
      </c>
      <c r="O256" s="156">
        <v>1</v>
      </c>
      <c r="P256" s="156">
        <v>0</v>
      </c>
      <c r="Q256" s="156" t="s">
        <v>435</v>
      </c>
      <c r="R256" s="156" t="s">
        <v>204</v>
      </c>
      <c r="S256" s="19">
        <v>0</v>
      </c>
      <c r="T256" s="19">
        <v>0</v>
      </c>
      <c r="U256" s="19" t="e">
        <v>#N/A</v>
      </c>
      <c r="V256" s="19" t="e">
        <v>#N/A</v>
      </c>
      <c r="W256" s="28" t="s">
        <v>41</v>
      </c>
      <c r="X256" s="19" t="e">
        <v>#N/A</v>
      </c>
      <c r="Y256" s="105">
        <f ca="1">IFERROR(OFFSET(Tab.Const.ConstrBorder!$A$1,MATCH(Q256,Tab.Const.ConstrBorder!$A:$A,0)-1,MATCH(Y$87,Tab.Const.ConstrBorder!$1:$1,0)-1),0)</f>
        <v>0</v>
      </c>
      <c r="Z256" s="18">
        <f t="shared" si="188"/>
        <v>1960</v>
      </c>
      <c r="AA256" s="17">
        <f>MATCH(Z256,Tab.Year.Period!$11:$11,1)-3</f>
        <v>5</v>
      </c>
      <c r="AB256" s="17">
        <f>MATCH(AB$88&amp;"."&amp;TEXT(AA256,"00"),Tab.U.Default!$A:$A,0)</f>
        <v>28</v>
      </c>
      <c r="AC256" s="105">
        <f ca="1">OFFSET(Tab.U.Default!$A$1,$AB256-1,MATCH("U_Class_"&amp;IF($J256="TopCeiling","UpperCeiling",$J256)&amp;"_"&amp;AC$87,Tab.U.Default!$1:$1,0)-1)</f>
        <v>1.2</v>
      </c>
      <c r="AD256" s="105">
        <f ca="1">OFFSET(Tab.U.Default!$A$1,$AB256-1,MATCH("U_Class_"&amp;IF($J256="TopCeiling","UpperCeiling",$J256)&amp;"_"&amp;AD$87,Tab.U.Default!$1:$1,0)-1)</f>
        <v>1.2</v>
      </c>
      <c r="AE256" s="105">
        <f ca="1">OFFSET(Tab.U.Default!$A$1,$AB256-1,MATCH("U_Class_"&amp;IF($J256="TopCeiling","UpperCeiling",$J256)&amp;"_"&amp;AE$87,Tab.U.Default!$1:$1,0)-1)</f>
        <v>0.8</v>
      </c>
      <c r="AF256" s="26">
        <f t="shared" ca="1" si="189"/>
        <v>1.2</v>
      </c>
      <c r="AG256" s="26">
        <f t="shared" ca="1" si="229"/>
        <v>1.2</v>
      </c>
      <c r="AH256" s="18" t="str">
        <f t="shared" si="211"/>
        <v>Original</v>
      </c>
      <c r="AI256" s="18" t="str">
        <f t="shared" si="191"/>
        <v>ReplaceInsulation</v>
      </c>
      <c r="AJ256" s="18">
        <f t="shared" si="192"/>
        <v>1960</v>
      </c>
      <c r="AK256" s="17">
        <f>MATCH(AJ256,Tab.Year.Period!$11:$11,1)-3</f>
        <v>5</v>
      </c>
      <c r="AL256" s="17">
        <f>MATCH(AL$88&amp;"."&amp;TEXT(AK256,"00"),Tab.Insulation.Default!$A:$A,0)</f>
        <v>16</v>
      </c>
      <c r="AM256" s="20" t="e">
        <f ca="1">IF(ISNA(IF(S256="",#N/A,S256)),OFFSET(Tab.Insulation.Default!$A$1,$AL256-1,MATCH(AM$87&amp;"_"&amp;$K256,Tab.Insulation.Default!$1:$1,0)-1),#N/A)</f>
        <v>#N/A</v>
      </c>
      <c r="AN256" s="27">
        <f t="shared" si="193"/>
        <v>0</v>
      </c>
      <c r="AO256" s="22">
        <f ca="1">IF(ISNA(IF(V256="",#N/A,V256)),OFFSET(Tab.Insulation.Default!$A$1,$AL256-1,MATCH(AO$87&amp;"_"&amp;$K256,Tab.Insulation.Default!$1:$1,0)-1),#N/A)</f>
        <v>0.05</v>
      </c>
      <c r="AP256" s="23">
        <f t="shared" ca="1" si="194"/>
        <v>0.05</v>
      </c>
      <c r="AQ256" s="29" t="str">
        <f t="shared" si="212"/>
        <v>Gen.Refurbished.05</v>
      </c>
      <c r="AR256" s="17">
        <f>MATCH(AR$88&amp;"."&amp;AQ256,Tab.Measure.f.Default!$A:$A,0)</f>
        <v>16</v>
      </c>
      <c r="AS256" s="21">
        <f ca="1">OFFSET(Tab.Measure.f.Default!$A$1,AR256-1,MATCH(AS$87&amp;"_"&amp;$J256,Tab.Measure.f.Default!$1:$1,0)-1)</f>
        <v>0.75</v>
      </c>
      <c r="AT256" s="29" t="str">
        <f t="shared" si="213"/>
        <v>MUH.NA.05</v>
      </c>
      <c r="AU256" s="17">
        <f>MATCH(AU$88&amp;"."&amp;AT256,Tab.Measure.f.Default!$A:$A,0)</f>
        <v>40</v>
      </c>
      <c r="AV256" s="21">
        <f ca="1">OFFSET(Tab.Measure.f.Default!$A$1,AU256-1,MATCH(AV$87&amp;"_"&amp;$J256,Tab.Measure.f.Default!$1:$1,0)-1)</f>
        <v>0.37</v>
      </c>
      <c r="AW256" s="30">
        <f t="shared" si="195"/>
        <v>0</v>
      </c>
      <c r="AX256" s="9">
        <f t="shared" ca="1" si="214"/>
        <v>0.83333333333333337</v>
      </c>
      <c r="AY256" s="9">
        <f t="shared" si="215"/>
        <v>0</v>
      </c>
      <c r="AZ256" s="9">
        <f t="shared" ca="1" si="242"/>
        <v>0.83333333333333337</v>
      </c>
      <c r="BA256" s="9">
        <f t="shared" ca="1" si="243"/>
        <v>1.2</v>
      </c>
      <c r="BB256" s="9">
        <f t="shared" ca="1" si="216"/>
        <v>1.2</v>
      </c>
      <c r="BC256" s="32" t="str">
        <f t="shared" si="217"/>
        <v>D</v>
      </c>
      <c r="BD256" s="20" t="str">
        <f ca="1">OFFSET(Tab.Uncertainty.Levels!$A$1,MATCH(BD$88,Tab.Uncertainty.Levels!$A:$A,0)-1,MATCH(BD$87&amp;"_"&amp;BC256,Tab.Uncertainty.Levels!$1:$1,0)-1)</f>
        <v>Use of default values; building constructed until 1983</v>
      </c>
      <c r="BE256" s="24">
        <f ca="1">OFFSET(Tab.Uncertainty.Levels!$A$1,MATCH(BE$88,Tab.Uncertainty.Levels!$A:$A,0)-1,MATCH(BE$87&amp;"_"&amp;BC256,Tab.Uncertainty.Levels!$1:$1,0)-1)</f>
        <v>0.3</v>
      </c>
      <c r="BF256" s="32" t="str">
        <f t="shared" si="218"/>
        <v>-</v>
      </c>
      <c r="BG256" s="20" t="e">
        <f ca="1">OFFSET(Tab.Uncertainty.Levels!$A$1,MATCH(BG$88,Tab.Uncertainty.Levels!$A:$A,0)-1,MATCH(BG$87&amp;"_"&amp;BF256,Tab.Uncertainty.Levels!$1:$1,0)-1)</f>
        <v>#N/A</v>
      </c>
      <c r="BH256" s="24" t="e">
        <f ca="1">OFFSET(Tab.Uncertainty.Levels!$A$1,MATCH(BH$88,Tab.Uncertainty.Levels!$A:$A,0)-1,MATCH(BH$87&amp;"_"&amp;BF256,Tab.Uncertainty.Levels!$1:$1,0)-1)</f>
        <v>#N/A</v>
      </c>
      <c r="BI256" s="32" t="str">
        <f t="shared" si="224"/>
        <v>D</v>
      </c>
      <c r="BJ256" s="13">
        <f ca="1">IF(BF256="-",BE256,BH256)</f>
        <v>0.3</v>
      </c>
      <c r="BK256" s="32" t="str">
        <f>IF(OR($L256="NoDataSource",IFERROR(IF($S256="",#N/A,$S256),0)=0),IF(IFERROR(IF(U256="",#N/A,U256),0)=0,"E","D"),IF($L256="DesignDataPlusQA","A",IF($L256="DesignData","B","C")))</f>
        <v>E</v>
      </c>
      <c r="BL256" s="20" t="str">
        <f ca="1">OFFSET(Tab.Uncertainty.Levels!$A$1,MATCH(BL$88,Tab.Uncertainty.Levels!$A:$A,0)-1,MATCH(BL$87&amp;"_"&amp;BK256,Tab.Uncertainty.Levels!$1:$1,0)-1)</f>
        <v>Insulation available; insulation thickness and year of implementation unknown</v>
      </c>
      <c r="BM256" s="24">
        <f ca="1">OFFSET(Tab.Uncertainty.Levels!$A$1,MATCH(BM$88,Tab.Uncertainty.Levels!$A:$A,0)-1,MATCH(BM$87&amp;"_"&amp;BK256,Tab.Uncertainty.Levels!$1:$1,0)-1)</f>
        <v>0.5</v>
      </c>
      <c r="BN256" s="34">
        <f ca="1">OFFSET(Tab.Uncertainty.Levels!$A$1,MATCH(BN$88,Tab.Uncertainty.Levels!$A:$A,0)-1,MATCH(BN$87&amp;"_"&amp;BK256,Tab.Uncertainty.Levels!$1:$1,0)-1)</f>
        <v>8</v>
      </c>
      <c r="BO256" s="13">
        <f ca="1">IFERROR(MIN(BM256,BN256/AN256),0)</f>
        <v>0</v>
      </c>
      <c r="BP256" s="32" t="str">
        <f>IF(OR($L256="NoDataSource",IFERROR(IF($V256="",#N/A,$V256),0)=0),IF(IFERROR(IF(U256="",#N/A,U256),0)=0,"E","D"),IF($L256="DesignDataPlusQA","A",IF($L256="DesignData","B","C")))</f>
        <v>E</v>
      </c>
      <c r="BQ256" s="20" t="str">
        <f ca="1">OFFSET(Tab.Uncertainty.Levels!$A$1,MATCH(BQ$88,Tab.Uncertainty.Levels!$A:$A,0)-1,MATCH(BQ$87&amp;"_"&amp;BP256,Tab.Uncertainty.Levels!$1:$1,0)-1)</f>
        <v>Insulation available; no information about material and year of implementation</v>
      </c>
      <c r="BR256" s="97">
        <f ca="1">OFFSET(Tab.Uncertainty.Levels!$A$1,MATCH(BR$88,Tab.Uncertainty.Levels!$A:$A,0)-1,MATCH(BR$87&amp;"_"&amp;BP256,Tab.Uncertainty.Levels!$1:$1,0)-1)</f>
        <v>0.3</v>
      </c>
      <c r="BS256" s="32" t="str">
        <f>IF(L256="NoDataSource","D",IF(IFERROR(IF($T256="",#N/A,$T256),0)=0,IF(OR(IFERROR(IF($S256="",#N/A,$S256),0)&gt;0,$R256="Refurbish"),"D","E"),IF($L256="DesignDataPlusQA","A",IF($L256="DesignData","B","C"))))</f>
        <v>E</v>
      </c>
      <c r="BT256" s="20" t="str">
        <f ca="1">OFFSET(Tab.Uncertainty.Levels!$A$1,MATCH(BT$88,Tab.Uncertainty.Levels!$A:$A,0)-1,MATCH(BT$87&amp;"_"&amp;BS256,Tab.Uncertainty.Levels!$1:$1,0)-1)</f>
        <v>Unknown if insulation has been applied (default fraction value is the average insulation fraction for all buildings)</v>
      </c>
      <c r="BU256" s="33">
        <f ca="1">OFFSET(Tab.Uncertainty.Levels!$A$1,MATCH(BU$88,Tab.Uncertainty.Levels!$A:$A,0)-1,MATCH(BU$87&amp;"_"&amp;BS256,Tab.Uncertainty.Levels!$1:$1,0)-1)</f>
        <v>0.5</v>
      </c>
      <c r="BV256" s="13">
        <f ca="1">IFERROR(MIN(BU256/AW256,1,(1-AW256)/AW256),0)</f>
        <v>0</v>
      </c>
      <c r="BW256" s="96">
        <f ca="1">ABS(1+(AW256*(1/(1+AN256/100/AP256*AG256)^2-1)))*BJ256*$AG256</f>
        <v>0.36</v>
      </c>
      <c r="BX256" s="96">
        <f ca="1">ABS(-AG256+1/(1/AG256+AN256/100/AP256))*BV256*AW256</f>
        <v>0</v>
      </c>
      <c r="BY256" s="96">
        <f ca="1">ABS(-AW256*AP256/((AP256/AG256+AN256/100)^2))*(BO256*AN256/100)</f>
        <v>0</v>
      </c>
      <c r="BZ256" s="202">
        <f ca="1">ABS(AW256*AN256/100/(1/AG256*AP256+AN256/100)^2)*(BR256*AP256)</f>
        <v>0</v>
      </c>
      <c r="CA256" s="103">
        <f t="shared" ca="1" si="198"/>
        <v>0.36</v>
      </c>
      <c r="CB256" s="37">
        <f t="shared" ca="1" si="219"/>
        <v>0.3</v>
      </c>
      <c r="CC256" s="37">
        <f t="shared" ca="1" si="220"/>
        <v>0</v>
      </c>
      <c r="CD256" s="37">
        <f t="shared" ca="1" si="221"/>
        <v>0</v>
      </c>
      <c r="CE256" s="37">
        <f t="shared" ca="1" si="222"/>
        <v>0</v>
      </c>
      <c r="CF256" s="13">
        <f t="shared" ca="1" si="223"/>
        <v>0.3</v>
      </c>
      <c r="CG256" s="101">
        <f ca="1">AG256</f>
        <v>1.2</v>
      </c>
      <c r="CH256" s="101">
        <f>AW256</f>
        <v>0</v>
      </c>
      <c r="CI256" s="203">
        <f>IF(CH256&gt;0,AN256,0)</f>
        <v>0</v>
      </c>
      <c r="CJ256" s="102">
        <f>IF(AND(CH256&gt;0,CI256&gt;0),AP256,0)</f>
        <v>0</v>
      </c>
      <c r="CK256" s="102">
        <f ca="1">BB256</f>
        <v>1.2</v>
      </c>
      <c r="CL256" s="37">
        <f t="shared" ca="1" si="230"/>
        <v>0.3</v>
      </c>
      <c r="CM256" s="37">
        <f t="shared" ca="1" si="231"/>
        <v>0</v>
      </c>
      <c r="CN256" s="37">
        <f t="shared" ca="1" si="232"/>
        <v>0</v>
      </c>
      <c r="CO256" s="37">
        <f t="shared" ca="1" si="233"/>
        <v>0.3</v>
      </c>
      <c r="CP256" s="37">
        <f t="shared" ca="1" si="234"/>
        <v>0.3</v>
      </c>
      <c r="CQ256" s="95">
        <f t="shared" ca="1" si="235"/>
        <v>0.36</v>
      </c>
      <c r="CR256" s="95">
        <f t="shared" ca="1" si="236"/>
        <v>0</v>
      </c>
      <c r="CS256" s="95">
        <f t="shared" ca="1" si="237"/>
        <v>0</v>
      </c>
      <c r="CT256" s="103">
        <f t="shared" ca="1" si="238"/>
        <v>0</v>
      </c>
      <c r="CU256" s="95">
        <f t="shared" ca="1" si="239"/>
        <v>0.36</v>
      </c>
      <c r="CV256" s="37">
        <f ca="1">$CB256^2/$CF256^2</f>
        <v>1</v>
      </c>
      <c r="CW256" s="37">
        <f ca="1">$CD256^2/$CF256^2</f>
        <v>0</v>
      </c>
      <c r="CX256" s="37">
        <f ca="1">$CE256^2/$CF256^2</f>
        <v>0</v>
      </c>
      <c r="CY256" s="37">
        <f ca="1">$CC256^2/$CF256^2</f>
        <v>0</v>
      </c>
      <c r="DA256" s="98" t="s">
        <v>214</v>
      </c>
      <c r="DB256" s="36">
        <f ca="1">OFFSET($A$1,ROW(DB256)-1,MATCH(DA256,$1:$1,0)-1)</f>
        <v>0</v>
      </c>
      <c r="DC256" s="9">
        <f ca="1">BB256</f>
        <v>1.2</v>
      </c>
      <c r="DD256" s="9">
        <f ca="1">$DC256+$CA256</f>
        <v>1.56</v>
      </c>
      <c r="DE256" s="9">
        <f ca="1">$DC256-$CA256</f>
        <v>0.84</v>
      </c>
      <c r="DF256" s="10">
        <f t="shared" ca="1" si="181"/>
        <v>0.30000000000000004</v>
      </c>
    </row>
    <row r="257" spans="1:110" s="8" customFormat="1" ht="32.4" customHeight="1">
      <c r="A257" s="206" t="s">
        <v>693</v>
      </c>
      <c r="B257" s="209" t="s">
        <v>2347</v>
      </c>
      <c r="C257" s="206" t="str">
        <f t="shared" si="240"/>
        <v>Parameter-Variation: Code_DataSources = DesignData</v>
      </c>
      <c r="D257" s="206"/>
      <c r="E257" s="206" t="s">
        <v>202</v>
      </c>
      <c r="F257" s="206" t="str">
        <f t="shared" ref="F257:F259" si="244">L257</f>
        <v>DesignData</v>
      </c>
      <c r="G257" s="206" t="s">
        <v>2170</v>
      </c>
      <c r="H257" s="206" t="s">
        <v>2171</v>
      </c>
      <c r="I257" s="156" t="s">
        <v>80</v>
      </c>
      <c r="J257" s="156" t="s">
        <v>134</v>
      </c>
      <c r="K257" s="156" t="s">
        <v>155</v>
      </c>
      <c r="L257" s="156" t="s">
        <v>67</v>
      </c>
      <c r="M257" s="156" t="s">
        <v>188</v>
      </c>
      <c r="N257" s="7">
        <v>1960</v>
      </c>
      <c r="O257" s="156">
        <v>1</v>
      </c>
      <c r="P257" s="156">
        <v>0</v>
      </c>
      <c r="Q257" s="156" t="s">
        <v>435</v>
      </c>
      <c r="R257" s="156" t="s">
        <v>204</v>
      </c>
      <c r="S257" s="19">
        <v>0</v>
      </c>
      <c r="T257" s="19">
        <v>0</v>
      </c>
      <c r="U257" s="19" t="e">
        <v>#N/A</v>
      </c>
      <c r="V257" s="19" t="e">
        <v>#N/A</v>
      </c>
      <c r="W257" s="28" t="s">
        <v>41</v>
      </c>
      <c r="X257" s="19" t="e">
        <v>#N/A</v>
      </c>
      <c r="Y257" s="105">
        <f ca="1">IFERROR(OFFSET(Tab.Const.ConstrBorder!$A$1,MATCH(Q257,Tab.Const.ConstrBorder!$A:$A,0)-1,MATCH(Y$87,Tab.Const.ConstrBorder!$1:$1,0)-1),0)</f>
        <v>0</v>
      </c>
      <c r="Z257" s="18">
        <f t="shared" si="188"/>
        <v>1960</v>
      </c>
      <c r="AA257" s="17">
        <f>MATCH(Z257,Tab.Year.Period!$11:$11,1)-3</f>
        <v>5</v>
      </c>
      <c r="AB257" s="17">
        <f>MATCH(AB$88&amp;"."&amp;TEXT(AA257,"00"),Tab.U.Default!$A:$A,0)</f>
        <v>28</v>
      </c>
      <c r="AC257" s="105">
        <f ca="1">OFFSET(Tab.U.Default!$A$1,$AB257-1,MATCH("U_Class_"&amp;IF($J257="TopCeiling","UpperCeiling",$J257)&amp;"_"&amp;AC$87,Tab.U.Default!$1:$1,0)-1)</f>
        <v>1.2</v>
      </c>
      <c r="AD257" s="105">
        <f ca="1">OFFSET(Tab.U.Default!$A$1,$AB257-1,MATCH("U_Class_"&amp;IF($J257="TopCeiling","UpperCeiling",$J257)&amp;"_"&amp;AD$87,Tab.U.Default!$1:$1,0)-1)</f>
        <v>1.2</v>
      </c>
      <c r="AE257" s="105">
        <f ca="1">OFFSET(Tab.U.Default!$A$1,$AB257-1,MATCH("U_Class_"&amp;IF($J257="TopCeiling","UpperCeiling",$J257)&amp;"_"&amp;AE$87,Tab.U.Default!$1:$1,0)-1)</f>
        <v>0.8</v>
      </c>
      <c r="AF257" s="26">
        <f t="shared" ca="1" si="189"/>
        <v>1.2</v>
      </c>
      <c r="AG257" s="26">
        <f t="shared" ca="1" si="229"/>
        <v>1.2</v>
      </c>
      <c r="AH257" s="18" t="str">
        <f t="shared" si="211"/>
        <v>Original</v>
      </c>
      <c r="AI257" s="18" t="str">
        <f t="shared" si="191"/>
        <v>ReplaceInsulation</v>
      </c>
      <c r="AJ257" s="18">
        <f t="shared" si="192"/>
        <v>1960</v>
      </c>
      <c r="AK257" s="17">
        <f>MATCH(AJ257,Tab.Year.Period!$11:$11,1)-3</f>
        <v>5</v>
      </c>
      <c r="AL257" s="17">
        <f>MATCH(AL$88&amp;"."&amp;TEXT(AK257,"00"),Tab.Insulation.Default!$A:$A,0)</f>
        <v>16</v>
      </c>
      <c r="AM257" s="20" t="e">
        <f ca="1">IF(ISNA(IF(S257="",#N/A,S257)),OFFSET(Tab.Insulation.Default!$A$1,$AL257-1,MATCH(AM$87&amp;"_"&amp;$K257,Tab.Insulation.Default!$1:$1,0)-1),#N/A)</f>
        <v>#N/A</v>
      </c>
      <c r="AN257" s="27">
        <f t="shared" si="193"/>
        <v>0</v>
      </c>
      <c r="AO257" s="22">
        <f ca="1">IF(ISNA(IF(V257="",#N/A,V257)),OFFSET(Tab.Insulation.Default!$A$1,$AL257-1,MATCH(AO$87&amp;"_"&amp;$K257,Tab.Insulation.Default!$1:$1,0)-1),#N/A)</f>
        <v>0.05</v>
      </c>
      <c r="AP257" s="23">
        <f t="shared" ca="1" si="194"/>
        <v>0.05</v>
      </c>
      <c r="AQ257" s="29" t="str">
        <f t="shared" si="212"/>
        <v>Gen.Refurbished.05</v>
      </c>
      <c r="AR257" s="17">
        <f>MATCH(AR$88&amp;"."&amp;AQ257,Tab.Measure.f.Default!$A:$A,0)</f>
        <v>16</v>
      </c>
      <c r="AS257" s="21">
        <f ca="1">OFFSET(Tab.Measure.f.Default!$A$1,AR257-1,MATCH(AS$87&amp;"_"&amp;$J257,Tab.Measure.f.Default!$1:$1,0)-1)</f>
        <v>0.75</v>
      </c>
      <c r="AT257" s="29" t="str">
        <f t="shared" si="213"/>
        <v>MUH.NA.05</v>
      </c>
      <c r="AU257" s="17">
        <f>MATCH(AU$88&amp;"."&amp;AT257,Tab.Measure.f.Default!$A:$A,0)</f>
        <v>40</v>
      </c>
      <c r="AV257" s="21">
        <f ca="1">OFFSET(Tab.Measure.f.Default!$A$1,AU257-1,MATCH(AV$87&amp;"_"&amp;$J257,Tab.Measure.f.Default!$1:$1,0)-1)</f>
        <v>0.37</v>
      </c>
      <c r="AW257" s="30">
        <f t="shared" si="195"/>
        <v>0</v>
      </c>
      <c r="AX257" s="9">
        <f t="shared" ca="1" si="214"/>
        <v>0.83333333333333337</v>
      </c>
      <c r="AY257" s="9">
        <f t="shared" si="215"/>
        <v>0</v>
      </c>
      <c r="AZ257" s="9">
        <f t="shared" ca="1" si="242"/>
        <v>0.83333333333333337</v>
      </c>
      <c r="BA257" s="9">
        <f t="shared" ca="1" si="243"/>
        <v>1.2</v>
      </c>
      <c r="BB257" s="9">
        <f t="shared" ca="1" si="216"/>
        <v>1.2</v>
      </c>
      <c r="BC257" s="32" t="str">
        <f t="shared" si="217"/>
        <v>D</v>
      </c>
      <c r="BD257" s="20" t="str">
        <f ca="1">OFFSET(Tab.Uncertainty.Levels!$A$1,MATCH(BD$88,Tab.Uncertainty.Levels!$A:$A,0)-1,MATCH(BD$87&amp;"_"&amp;BC257,Tab.Uncertainty.Levels!$1:$1,0)-1)</f>
        <v>Use of default values; building constructed until 1983</v>
      </c>
      <c r="BE257" s="24">
        <f ca="1">OFFSET(Tab.Uncertainty.Levels!$A$1,MATCH(BE$88,Tab.Uncertainty.Levels!$A:$A,0)-1,MATCH(BE$87&amp;"_"&amp;BC257,Tab.Uncertainty.Levels!$1:$1,0)-1)</f>
        <v>0.3</v>
      </c>
      <c r="BF257" s="32" t="str">
        <f t="shared" si="218"/>
        <v>-</v>
      </c>
      <c r="BG257" s="20" t="e">
        <f ca="1">OFFSET(Tab.Uncertainty.Levels!$A$1,MATCH(BG$88,Tab.Uncertainty.Levels!$A:$A,0)-1,MATCH(BG$87&amp;"_"&amp;BF257,Tab.Uncertainty.Levels!$1:$1,0)-1)</f>
        <v>#N/A</v>
      </c>
      <c r="BH257" s="24" t="e">
        <f ca="1">OFFSET(Tab.Uncertainty.Levels!$A$1,MATCH(BH$88,Tab.Uncertainty.Levels!$A:$A,0)-1,MATCH(BH$87&amp;"_"&amp;BF257,Tab.Uncertainty.Levels!$1:$1,0)-1)</f>
        <v>#N/A</v>
      </c>
      <c r="BI257" s="32" t="str">
        <f t="shared" si="224"/>
        <v>D</v>
      </c>
      <c r="BJ257" s="13">
        <f ca="1">IF(BF257="-",BE257,BH257)</f>
        <v>0.3</v>
      </c>
      <c r="BK257" s="32" t="str">
        <f>IF(OR($L257="NoDataSource",IFERROR(IF($S257="",#N/A,$S257),0)=0),IF(IFERROR(IF(U257="",#N/A,U257),0)=0,"E","D"),IF($L257="DesignDataPlusQA","A",IF($L257="DesignData","B","C")))</f>
        <v>E</v>
      </c>
      <c r="BL257" s="20" t="str">
        <f ca="1">OFFSET(Tab.Uncertainty.Levels!$A$1,MATCH(BL$88,Tab.Uncertainty.Levels!$A:$A,0)-1,MATCH(BL$87&amp;"_"&amp;BK257,Tab.Uncertainty.Levels!$1:$1,0)-1)</f>
        <v>Insulation available; insulation thickness and year of implementation unknown</v>
      </c>
      <c r="BM257" s="24">
        <f ca="1">OFFSET(Tab.Uncertainty.Levels!$A$1,MATCH(BM$88,Tab.Uncertainty.Levels!$A:$A,0)-1,MATCH(BM$87&amp;"_"&amp;BK257,Tab.Uncertainty.Levels!$1:$1,0)-1)</f>
        <v>0.5</v>
      </c>
      <c r="BN257" s="34">
        <f ca="1">OFFSET(Tab.Uncertainty.Levels!$A$1,MATCH(BN$88,Tab.Uncertainty.Levels!$A:$A,0)-1,MATCH(BN$87&amp;"_"&amp;BK257,Tab.Uncertainty.Levels!$1:$1,0)-1)</f>
        <v>8</v>
      </c>
      <c r="BO257" s="13">
        <f ca="1">IFERROR(MIN(BM257,BN257/AN257),0)</f>
        <v>0</v>
      </c>
      <c r="BP257" s="32" t="str">
        <f>IF(OR($L257="NoDataSource",IFERROR(IF($V257="",#N/A,$V257),0)=0),IF(IFERROR(IF(U257="",#N/A,U257),0)=0,"E","D"),IF($L257="DesignDataPlusQA","A",IF($L257="DesignData","B","C")))</f>
        <v>E</v>
      </c>
      <c r="BQ257" s="20" t="str">
        <f ca="1">OFFSET(Tab.Uncertainty.Levels!$A$1,MATCH(BQ$88,Tab.Uncertainty.Levels!$A:$A,0)-1,MATCH(BQ$87&amp;"_"&amp;BP257,Tab.Uncertainty.Levels!$1:$1,0)-1)</f>
        <v>Insulation available; no information about material and year of implementation</v>
      </c>
      <c r="BR257" s="97">
        <f ca="1">OFFSET(Tab.Uncertainty.Levels!$A$1,MATCH(BR$88,Tab.Uncertainty.Levels!$A:$A,0)-1,MATCH(BR$87&amp;"_"&amp;BP257,Tab.Uncertainty.Levels!$1:$1,0)-1)</f>
        <v>0.3</v>
      </c>
      <c r="BS257" s="32" t="str">
        <f>IF(L257="NoDataSource","D",IF(IFERROR(IF($T257="",#N/A,$T257),0)=0,IF(OR(IFERROR(IF($S257="",#N/A,$S257),0)&gt;0,$R257="Refurbish"),"D","E"),IF($L257="DesignDataPlusQA","A",IF($L257="DesignData","B","C"))))</f>
        <v>E</v>
      </c>
      <c r="BT257" s="20" t="str">
        <f ca="1">OFFSET(Tab.Uncertainty.Levels!$A$1,MATCH(BT$88,Tab.Uncertainty.Levels!$A:$A,0)-1,MATCH(BT$87&amp;"_"&amp;BS257,Tab.Uncertainty.Levels!$1:$1,0)-1)</f>
        <v>Unknown if insulation has been applied (default fraction value is the average insulation fraction for all buildings)</v>
      </c>
      <c r="BU257" s="33">
        <f ca="1">OFFSET(Tab.Uncertainty.Levels!$A$1,MATCH(BU$88,Tab.Uncertainty.Levels!$A:$A,0)-1,MATCH(BU$87&amp;"_"&amp;BS257,Tab.Uncertainty.Levels!$1:$1,0)-1)</f>
        <v>0.5</v>
      </c>
      <c r="BV257" s="13">
        <f ca="1">IFERROR(MIN(BU257/AW257,1,(1-AW257)/AW257),0)</f>
        <v>0</v>
      </c>
      <c r="BW257" s="96">
        <f ca="1">ABS(1+(AW257*(1/(1+AN257/100/AP257*AG257)^2-1)))*BJ257*$AG257</f>
        <v>0.36</v>
      </c>
      <c r="BX257" s="96">
        <f ca="1">ABS(-AG257+1/(1/AG257+AN257/100/AP257))*BV257*AW257</f>
        <v>0</v>
      </c>
      <c r="BY257" s="96">
        <f ca="1">ABS(-AW257*AP257/((AP257/AG257+AN257/100)^2))*(BO257*AN257/100)</f>
        <v>0</v>
      </c>
      <c r="BZ257" s="202">
        <f ca="1">ABS(AW257*AN257/100/(1/AG257*AP257+AN257/100)^2)*(BR257*AP257)</f>
        <v>0</v>
      </c>
      <c r="CA257" s="103">
        <f t="shared" ca="1" si="198"/>
        <v>0.36</v>
      </c>
      <c r="CB257" s="37">
        <f t="shared" ca="1" si="219"/>
        <v>0.3</v>
      </c>
      <c r="CC257" s="37">
        <f t="shared" ca="1" si="220"/>
        <v>0</v>
      </c>
      <c r="CD257" s="37">
        <f t="shared" ca="1" si="221"/>
        <v>0</v>
      </c>
      <c r="CE257" s="37">
        <f t="shared" ca="1" si="222"/>
        <v>0</v>
      </c>
      <c r="CF257" s="13">
        <f t="shared" ca="1" si="223"/>
        <v>0.3</v>
      </c>
      <c r="CG257" s="101">
        <f ca="1">AG257</f>
        <v>1.2</v>
      </c>
      <c r="CH257" s="101">
        <f>AW257</f>
        <v>0</v>
      </c>
      <c r="CI257" s="203">
        <f>IF(CH257&gt;0,AN257,0)</f>
        <v>0</v>
      </c>
      <c r="CJ257" s="102">
        <f>IF(AND(CH257&gt;0,CI257&gt;0),AP257,0)</f>
        <v>0</v>
      </c>
      <c r="CK257" s="102">
        <f ca="1">BB257</f>
        <v>1.2</v>
      </c>
      <c r="CL257" s="37">
        <f t="shared" ca="1" si="230"/>
        <v>0.3</v>
      </c>
      <c r="CM257" s="37">
        <f t="shared" ca="1" si="231"/>
        <v>0</v>
      </c>
      <c r="CN257" s="37">
        <f t="shared" ca="1" si="232"/>
        <v>0</v>
      </c>
      <c r="CO257" s="37">
        <f t="shared" ca="1" si="233"/>
        <v>0.3</v>
      </c>
      <c r="CP257" s="37">
        <f t="shared" ca="1" si="234"/>
        <v>0.3</v>
      </c>
      <c r="CQ257" s="95">
        <f t="shared" ca="1" si="235"/>
        <v>0.36</v>
      </c>
      <c r="CR257" s="95">
        <f t="shared" ca="1" si="236"/>
        <v>0</v>
      </c>
      <c r="CS257" s="95">
        <f t="shared" ca="1" si="237"/>
        <v>0</v>
      </c>
      <c r="CT257" s="103">
        <f t="shared" ca="1" si="238"/>
        <v>0</v>
      </c>
      <c r="CU257" s="95">
        <f t="shared" ca="1" si="239"/>
        <v>0.36</v>
      </c>
      <c r="CV257" s="37">
        <f ca="1">$CB257^2/$CF257^2</f>
        <v>1</v>
      </c>
      <c r="CW257" s="37">
        <f ca="1">$CD257^2/$CF257^2</f>
        <v>0</v>
      </c>
      <c r="CX257" s="37">
        <f ca="1">$CE257^2/$CF257^2</f>
        <v>0</v>
      </c>
      <c r="CY257" s="37">
        <f ca="1">$CC257^2/$CF257^2</f>
        <v>0</v>
      </c>
      <c r="DA257" s="98" t="s">
        <v>214</v>
      </c>
      <c r="DB257" s="36">
        <f ca="1">OFFSET($A$1,ROW(DB257)-1,MATCH(DA257,$1:$1,0)-1)</f>
        <v>0</v>
      </c>
      <c r="DC257" s="9">
        <f ca="1">BB257</f>
        <v>1.2</v>
      </c>
      <c r="DD257" s="9">
        <f ca="1">$DC257+$CA257</f>
        <v>1.56</v>
      </c>
      <c r="DE257" s="9">
        <f ca="1">$DC257-$CA257</f>
        <v>0.84</v>
      </c>
      <c r="DF257" s="10">
        <f t="shared" ca="1" si="181"/>
        <v>0.30000000000000004</v>
      </c>
    </row>
    <row r="258" spans="1:110" s="8" customFormat="1" ht="32.4" customHeight="1">
      <c r="A258" s="206" t="s">
        <v>694</v>
      </c>
      <c r="B258" s="209" t="s">
        <v>2347</v>
      </c>
      <c r="C258" s="206" t="str">
        <f t="shared" si="240"/>
        <v>Parameter-Variation: Code_DataSources = InspectionOnsite</v>
      </c>
      <c r="D258" s="206"/>
      <c r="E258" s="206" t="s">
        <v>202</v>
      </c>
      <c r="F258" s="206" t="str">
        <f t="shared" si="244"/>
        <v>InspectionOnsite</v>
      </c>
      <c r="G258" s="206" t="s">
        <v>2170</v>
      </c>
      <c r="H258" s="206" t="s">
        <v>2171</v>
      </c>
      <c r="I258" s="156" t="s">
        <v>80</v>
      </c>
      <c r="J258" s="156" t="s">
        <v>134</v>
      </c>
      <c r="K258" s="156" t="s">
        <v>155</v>
      </c>
      <c r="L258" s="156" t="s">
        <v>66</v>
      </c>
      <c r="M258" s="156" t="s">
        <v>188</v>
      </c>
      <c r="N258" s="7">
        <v>1960</v>
      </c>
      <c r="O258" s="156">
        <v>1</v>
      </c>
      <c r="P258" s="156">
        <v>0</v>
      </c>
      <c r="Q258" s="156" t="s">
        <v>435</v>
      </c>
      <c r="R258" s="156" t="s">
        <v>204</v>
      </c>
      <c r="S258" s="19">
        <v>0</v>
      </c>
      <c r="T258" s="19">
        <v>0</v>
      </c>
      <c r="U258" s="19" t="e">
        <v>#N/A</v>
      </c>
      <c r="V258" s="19" t="e">
        <v>#N/A</v>
      </c>
      <c r="W258" s="28" t="s">
        <v>41</v>
      </c>
      <c r="X258" s="19" t="e">
        <v>#N/A</v>
      </c>
      <c r="Y258" s="105">
        <f ca="1">IFERROR(OFFSET(Tab.Const.ConstrBorder!$A$1,MATCH(Q258,Tab.Const.ConstrBorder!$A:$A,0)-1,MATCH(Y$87,Tab.Const.ConstrBorder!$1:$1,0)-1),0)</f>
        <v>0</v>
      </c>
      <c r="Z258" s="18">
        <f t="shared" si="188"/>
        <v>1960</v>
      </c>
      <c r="AA258" s="17">
        <f>MATCH(Z258,Tab.Year.Period!$11:$11,1)-3</f>
        <v>5</v>
      </c>
      <c r="AB258" s="17">
        <f>MATCH(AB$88&amp;"."&amp;TEXT(AA258,"00"),Tab.U.Default!$A:$A,0)</f>
        <v>28</v>
      </c>
      <c r="AC258" s="105">
        <f ca="1">OFFSET(Tab.U.Default!$A$1,$AB258-1,MATCH("U_Class_"&amp;IF($J258="TopCeiling","UpperCeiling",$J258)&amp;"_"&amp;AC$87,Tab.U.Default!$1:$1,0)-1)</f>
        <v>1.2</v>
      </c>
      <c r="AD258" s="105">
        <f ca="1">OFFSET(Tab.U.Default!$A$1,$AB258-1,MATCH("U_Class_"&amp;IF($J258="TopCeiling","UpperCeiling",$J258)&amp;"_"&amp;AD$87,Tab.U.Default!$1:$1,0)-1)</f>
        <v>1.2</v>
      </c>
      <c r="AE258" s="105">
        <f ca="1">OFFSET(Tab.U.Default!$A$1,$AB258-1,MATCH("U_Class_"&amp;IF($J258="TopCeiling","UpperCeiling",$J258)&amp;"_"&amp;AE$87,Tab.U.Default!$1:$1,0)-1)</f>
        <v>0.8</v>
      </c>
      <c r="AF258" s="26">
        <f t="shared" ca="1" si="189"/>
        <v>1.2</v>
      </c>
      <c r="AG258" s="26">
        <f t="shared" ca="1" si="229"/>
        <v>1.2</v>
      </c>
      <c r="AH258" s="18" t="str">
        <f t="shared" si="211"/>
        <v>Original</v>
      </c>
      <c r="AI258" s="18" t="str">
        <f t="shared" si="191"/>
        <v>ReplaceInsulation</v>
      </c>
      <c r="AJ258" s="18">
        <f t="shared" si="192"/>
        <v>1960</v>
      </c>
      <c r="AK258" s="17">
        <f>MATCH(AJ258,Tab.Year.Period!$11:$11,1)-3</f>
        <v>5</v>
      </c>
      <c r="AL258" s="17">
        <f>MATCH(AL$88&amp;"."&amp;TEXT(AK258,"00"),Tab.Insulation.Default!$A:$A,0)</f>
        <v>16</v>
      </c>
      <c r="AM258" s="20" t="e">
        <f ca="1">IF(ISNA(IF(S258="",#N/A,S258)),OFFSET(Tab.Insulation.Default!$A$1,$AL258-1,MATCH(AM$87&amp;"_"&amp;$K258,Tab.Insulation.Default!$1:$1,0)-1),#N/A)</f>
        <v>#N/A</v>
      </c>
      <c r="AN258" s="27">
        <f t="shared" si="193"/>
        <v>0</v>
      </c>
      <c r="AO258" s="22">
        <f ca="1">IF(ISNA(IF(V258="",#N/A,V258)),OFFSET(Tab.Insulation.Default!$A$1,$AL258-1,MATCH(AO$87&amp;"_"&amp;$K258,Tab.Insulation.Default!$1:$1,0)-1),#N/A)</f>
        <v>0.05</v>
      </c>
      <c r="AP258" s="23">
        <f t="shared" ca="1" si="194"/>
        <v>0.05</v>
      </c>
      <c r="AQ258" s="29" t="str">
        <f t="shared" si="212"/>
        <v>Gen.Refurbished.05</v>
      </c>
      <c r="AR258" s="17">
        <f>MATCH(AR$88&amp;"."&amp;AQ258,Tab.Measure.f.Default!$A:$A,0)</f>
        <v>16</v>
      </c>
      <c r="AS258" s="21">
        <f ca="1">OFFSET(Tab.Measure.f.Default!$A$1,AR258-1,MATCH(AS$87&amp;"_"&amp;$J258,Tab.Measure.f.Default!$1:$1,0)-1)</f>
        <v>0.75</v>
      </c>
      <c r="AT258" s="29" t="str">
        <f t="shared" si="213"/>
        <v>MUH.NA.05</v>
      </c>
      <c r="AU258" s="17">
        <f>MATCH(AU$88&amp;"."&amp;AT258,Tab.Measure.f.Default!$A:$A,0)</f>
        <v>40</v>
      </c>
      <c r="AV258" s="21">
        <f ca="1">OFFSET(Tab.Measure.f.Default!$A$1,AU258-1,MATCH(AV$87&amp;"_"&amp;$J258,Tab.Measure.f.Default!$1:$1,0)-1)</f>
        <v>0.37</v>
      </c>
      <c r="AW258" s="30">
        <f t="shared" si="195"/>
        <v>0</v>
      </c>
      <c r="AX258" s="9">
        <f t="shared" ca="1" si="214"/>
        <v>0.83333333333333337</v>
      </c>
      <c r="AY258" s="9">
        <f t="shared" si="215"/>
        <v>0</v>
      </c>
      <c r="AZ258" s="9">
        <f t="shared" ca="1" si="242"/>
        <v>0.83333333333333337</v>
      </c>
      <c r="BA258" s="9">
        <f t="shared" ca="1" si="243"/>
        <v>1.2</v>
      </c>
      <c r="BB258" s="9">
        <f t="shared" ca="1" si="216"/>
        <v>1.2</v>
      </c>
      <c r="BC258" s="32" t="str">
        <f t="shared" si="217"/>
        <v>D</v>
      </c>
      <c r="BD258" s="20" t="str">
        <f ca="1">OFFSET(Tab.Uncertainty.Levels!$A$1,MATCH(BD$88,Tab.Uncertainty.Levels!$A:$A,0)-1,MATCH(BD$87&amp;"_"&amp;BC258,Tab.Uncertainty.Levels!$1:$1,0)-1)</f>
        <v>Use of default values; building constructed until 1983</v>
      </c>
      <c r="BE258" s="24">
        <f ca="1">OFFSET(Tab.Uncertainty.Levels!$A$1,MATCH(BE$88,Tab.Uncertainty.Levels!$A:$A,0)-1,MATCH(BE$87&amp;"_"&amp;BC258,Tab.Uncertainty.Levels!$1:$1,0)-1)</f>
        <v>0.3</v>
      </c>
      <c r="BF258" s="32" t="str">
        <f t="shared" si="218"/>
        <v>-</v>
      </c>
      <c r="BG258" s="20" t="e">
        <f ca="1">OFFSET(Tab.Uncertainty.Levels!$A$1,MATCH(BG$88,Tab.Uncertainty.Levels!$A:$A,0)-1,MATCH(BG$87&amp;"_"&amp;BF258,Tab.Uncertainty.Levels!$1:$1,0)-1)</f>
        <v>#N/A</v>
      </c>
      <c r="BH258" s="24" t="e">
        <f ca="1">OFFSET(Tab.Uncertainty.Levels!$A$1,MATCH(BH$88,Tab.Uncertainty.Levels!$A:$A,0)-1,MATCH(BH$87&amp;"_"&amp;BF258,Tab.Uncertainty.Levels!$1:$1,0)-1)</f>
        <v>#N/A</v>
      </c>
      <c r="BI258" s="32" t="str">
        <f t="shared" si="224"/>
        <v>D</v>
      </c>
      <c r="BJ258" s="13">
        <f ca="1">IF(BF258="-",BE258,BH258)</f>
        <v>0.3</v>
      </c>
      <c r="BK258" s="32" t="str">
        <f>IF(OR($L258="NoDataSource",IFERROR(IF($S258="",#N/A,$S258),0)=0),IF(IFERROR(IF(U258="",#N/A,U258),0)=0,"E","D"),IF($L258="DesignDataPlusQA","A",IF($L258="DesignData","B","C")))</f>
        <v>E</v>
      </c>
      <c r="BL258" s="20" t="str">
        <f ca="1">OFFSET(Tab.Uncertainty.Levels!$A$1,MATCH(BL$88,Tab.Uncertainty.Levels!$A:$A,0)-1,MATCH(BL$87&amp;"_"&amp;BK258,Tab.Uncertainty.Levels!$1:$1,0)-1)</f>
        <v>Insulation available; insulation thickness and year of implementation unknown</v>
      </c>
      <c r="BM258" s="24">
        <f ca="1">OFFSET(Tab.Uncertainty.Levels!$A$1,MATCH(BM$88,Tab.Uncertainty.Levels!$A:$A,0)-1,MATCH(BM$87&amp;"_"&amp;BK258,Tab.Uncertainty.Levels!$1:$1,0)-1)</f>
        <v>0.5</v>
      </c>
      <c r="BN258" s="34">
        <f ca="1">OFFSET(Tab.Uncertainty.Levels!$A$1,MATCH(BN$88,Tab.Uncertainty.Levels!$A:$A,0)-1,MATCH(BN$87&amp;"_"&amp;BK258,Tab.Uncertainty.Levels!$1:$1,0)-1)</f>
        <v>8</v>
      </c>
      <c r="BO258" s="13">
        <f ca="1">IFERROR(MIN(BM258,BN258/AN258),0)</f>
        <v>0</v>
      </c>
      <c r="BP258" s="32" t="str">
        <f>IF(OR($L258="NoDataSource",IFERROR(IF($V258="",#N/A,$V258),0)=0),IF(IFERROR(IF(U258="",#N/A,U258),0)=0,"E","D"),IF($L258="DesignDataPlusQA","A",IF($L258="DesignData","B","C")))</f>
        <v>E</v>
      </c>
      <c r="BQ258" s="20" t="str">
        <f ca="1">OFFSET(Tab.Uncertainty.Levels!$A$1,MATCH(BQ$88,Tab.Uncertainty.Levels!$A:$A,0)-1,MATCH(BQ$87&amp;"_"&amp;BP258,Tab.Uncertainty.Levels!$1:$1,0)-1)</f>
        <v>Insulation available; no information about material and year of implementation</v>
      </c>
      <c r="BR258" s="97">
        <f ca="1">OFFSET(Tab.Uncertainty.Levels!$A$1,MATCH(BR$88,Tab.Uncertainty.Levels!$A:$A,0)-1,MATCH(BR$87&amp;"_"&amp;BP258,Tab.Uncertainty.Levels!$1:$1,0)-1)</f>
        <v>0.3</v>
      </c>
      <c r="BS258" s="32" t="str">
        <f>IF(L258="NoDataSource","D",IF(IFERROR(IF($T258="",#N/A,$T258),0)=0,IF(OR(IFERROR(IF($S258="",#N/A,$S258),0)&gt;0,$R258="Refurbish"),"D","E"),IF($L258="DesignDataPlusQA","A",IF($L258="DesignData","B","C"))))</f>
        <v>E</v>
      </c>
      <c r="BT258" s="20" t="str">
        <f ca="1">OFFSET(Tab.Uncertainty.Levels!$A$1,MATCH(BT$88,Tab.Uncertainty.Levels!$A:$A,0)-1,MATCH(BT$87&amp;"_"&amp;BS258,Tab.Uncertainty.Levels!$1:$1,0)-1)</f>
        <v>Unknown if insulation has been applied (default fraction value is the average insulation fraction for all buildings)</v>
      </c>
      <c r="BU258" s="33">
        <f ca="1">OFFSET(Tab.Uncertainty.Levels!$A$1,MATCH(BU$88,Tab.Uncertainty.Levels!$A:$A,0)-1,MATCH(BU$87&amp;"_"&amp;BS258,Tab.Uncertainty.Levels!$1:$1,0)-1)</f>
        <v>0.5</v>
      </c>
      <c r="BV258" s="13">
        <f ca="1">IFERROR(MIN(BU258/AW258,1,(1-AW258)/AW258),0)</f>
        <v>0</v>
      </c>
      <c r="BW258" s="96">
        <f ca="1">ABS(1+(AW258*(1/(1+AN258/100/AP258*AG258)^2-1)))*BJ258*$AG258</f>
        <v>0.36</v>
      </c>
      <c r="BX258" s="96">
        <f ca="1">ABS(-AG258+1/(1/AG258+AN258/100/AP258))*BV258*AW258</f>
        <v>0</v>
      </c>
      <c r="BY258" s="96">
        <f ca="1">ABS(-AW258*AP258/((AP258/AG258+AN258/100)^2))*(BO258*AN258/100)</f>
        <v>0</v>
      </c>
      <c r="BZ258" s="202">
        <f ca="1">ABS(AW258*AN258/100/(1/AG258*AP258+AN258/100)^2)*(BR258*AP258)</f>
        <v>0</v>
      </c>
      <c r="CA258" s="103">
        <f t="shared" ca="1" si="198"/>
        <v>0.36</v>
      </c>
      <c r="CB258" s="37">
        <f t="shared" ca="1" si="219"/>
        <v>0.3</v>
      </c>
      <c r="CC258" s="37">
        <f t="shared" ca="1" si="220"/>
        <v>0</v>
      </c>
      <c r="CD258" s="37">
        <f t="shared" ca="1" si="221"/>
        <v>0</v>
      </c>
      <c r="CE258" s="37">
        <f t="shared" ca="1" si="222"/>
        <v>0</v>
      </c>
      <c r="CF258" s="13">
        <f t="shared" ca="1" si="223"/>
        <v>0.3</v>
      </c>
      <c r="CG258" s="101">
        <f ca="1">AG258</f>
        <v>1.2</v>
      </c>
      <c r="CH258" s="101">
        <f>AW258</f>
        <v>0</v>
      </c>
      <c r="CI258" s="203">
        <f>IF(CH258&gt;0,AN258,0)</f>
        <v>0</v>
      </c>
      <c r="CJ258" s="102">
        <f>IF(AND(CH258&gt;0,CI258&gt;0),AP258,0)</f>
        <v>0</v>
      </c>
      <c r="CK258" s="102">
        <f ca="1">BB258</f>
        <v>1.2</v>
      </c>
      <c r="CL258" s="37">
        <f t="shared" ca="1" si="230"/>
        <v>0.3</v>
      </c>
      <c r="CM258" s="37">
        <f t="shared" ca="1" si="231"/>
        <v>0</v>
      </c>
      <c r="CN258" s="37">
        <f t="shared" ca="1" si="232"/>
        <v>0</v>
      </c>
      <c r="CO258" s="37">
        <f t="shared" ca="1" si="233"/>
        <v>0.3</v>
      </c>
      <c r="CP258" s="37">
        <f t="shared" ca="1" si="234"/>
        <v>0.3</v>
      </c>
      <c r="CQ258" s="95">
        <f t="shared" ca="1" si="235"/>
        <v>0.36</v>
      </c>
      <c r="CR258" s="95">
        <f t="shared" ca="1" si="236"/>
        <v>0</v>
      </c>
      <c r="CS258" s="95">
        <f t="shared" ca="1" si="237"/>
        <v>0</v>
      </c>
      <c r="CT258" s="103">
        <f t="shared" ca="1" si="238"/>
        <v>0</v>
      </c>
      <c r="CU258" s="95">
        <f t="shared" ca="1" si="239"/>
        <v>0.36</v>
      </c>
      <c r="CV258" s="37">
        <f ca="1">$CB258^2/$CF258^2</f>
        <v>1</v>
      </c>
      <c r="CW258" s="37">
        <f ca="1">$CD258^2/$CF258^2</f>
        <v>0</v>
      </c>
      <c r="CX258" s="37">
        <f ca="1">$CE258^2/$CF258^2</f>
        <v>0</v>
      </c>
      <c r="CY258" s="37">
        <f ca="1">$CC258^2/$CF258^2</f>
        <v>0</v>
      </c>
      <c r="DA258" s="98" t="s">
        <v>214</v>
      </c>
      <c r="DB258" s="36">
        <f ca="1">OFFSET($A$1,ROW(DB258)-1,MATCH(DA258,$1:$1,0)-1)</f>
        <v>0</v>
      </c>
      <c r="DC258" s="9">
        <f ca="1">BB258</f>
        <v>1.2</v>
      </c>
      <c r="DD258" s="9">
        <f ca="1">$DC258+$CA258</f>
        <v>1.56</v>
      </c>
      <c r="DE258" s="9">
        <f ca="1">$DC258-$CA258</f>
        <v>0.84</v>
      </c>
      <c r="DF258" s="10">
        <f t="shared" ca="1" si="181"/>
        <v>0.30000000000000004</v>
      </c>
    </row>
    <row r="259" spans="1:110" s="8" customFormat="1" ht="32.4" customHeight="1">
      <c r="A259" s="206" t="s">
        <v>695</v>
      </c>
      <c r="B259" s="209" t="s">
        <v>2347</v>
      </c>
      <c r="C259" s="206" t="str">
        <f t="shared" si="240"/>
        <v>Parameter-Variation: Code_DataSources = RecordsStatementOwner</v>
      </c>
      <c r="D259" s="206"/>
      <c r="E259" s="206" t="s">
        <v>202</v>
      </c>
      <c r="F259" s="206" t="str">
        <f t="shared" si="244"/>
        <v>RecordsStatementOwner</v>
      </c>
      <c r="G259" s="206" t="s">
        <v>2170</v>
      </c>
      <c r="H259" s="206" t="s">
        <v>2171</v>
      </c>
      <c r="I259" s="156" t="s">
        <v>80</v>
      </c>
      <c r="J259" s="156" t="s">
        <v>134</v>
      </c>
      <c r="K259" s="156" t="s">
        <v>155</v>
      </c>
      <c r="L259" s="156" t="s">
        <v>190</v>
      </c>
      <c r="M259" s="156" t="s">
        <v>188</v>
      </c>
      <c r="N259" s="7">
        <v>1960</v>
      </c>
      <c r="O259" s="156">
        <v>1</v>
      </c>
      <c r="P259" s="156">
        <v>0</v>
      </c>
      <c r="Q259" s="156" t="s">
        <v>435</v>
      </c>
      <c r="R259" s="156" t="s">
        <v>204</v>
      </c>
      <c r="S259" s="19">
        <v>0</v>
      </c>
      <c r="T259" s="19">
        <v>0</v>
      </c>
      <c r="U259" s="19" t="e">
        <v>#N/A</v>
      </c>
      <c r="V259" s="19" t="e">
        <v>#N/A</v>
      </c>
      <c r="W259" s="28" t="s">
        <v>41</v>
      </c>
      <c r="X259" s="19" t="e">
        <v>#N/A</v>
      </c>
      <c r="Y259" s="105">
        <f ca="1">IFERROR(OFFSET(Tab.Const.ConstrBorder!$A$1,MATCH(Q259,Tab.Const.ConstrBorder!$A:$A,0)-1,MATCH(Y$87,Tab.Const.ConstrBorder!$1:$1,0)-1),0)</f>
        <v>0</v>
      </c>
      <c r="Z259" s="18">
        <f t="shared" si="188"/>
        <v>1960</v>
      </c>
      <c r="AA259" s="17">
        <f>MATCH(Z259,Tab.Year.Period!$11:$11,1)-3</f>
        <v>5</v>
      </c>
      <c r="AB259" s="17">
        <f>MATCH(AB$88&amp;"."&amp;TEXT(AA259,"00"),Tab.U.Default!$A:$A,0)</f>
        <v>28</v>
      </c>
      <c r="AC259" s="105">
        <f ca="1">OFFSET(Tab.U.Default!$A$1,$AB259-1,MATCH("U_Class_"&amp;IF($J259="TopCeiling","UpperCeiling",$J259)&amp;"_"&amp;AC$87,Tab.U.Default!$1:$1,0)-1)</f>
        <v>1.2</v>
      </c>
      <c r="AD259" s="105">
        <f ca="1">OFFSET(Tab.U.Default!$A$1,$AB259-1,MATCH("U_Class_"&amp;IF($J259="TopCeiling","UpperCeiling",$J259)&amp;"_"&amp;AD$87,Tab.U.Default!$1:$1,0)-1)</f>
        <v>1.2</v>
      </c>
      <c r="AE259" s="105">
        <f ca="1">OFFSET(Tab.U.Default!$A$1,$AB259-1,MATCH("U_Class_"&amp;IF($J259="TopCeiling","UpperCeiling",$J259)&amp;"_"&amp;AE$87,Tab.U.Default!$1:$1,0)-1)</f>
        <v>0.8</v>
      </c>
      <c r="AF259" s="26">
        <f t="shared" ca="1" si="189"/>
        <v>1.2</v>
      </c>
      <c r="AG259" s="26">
        <f t="shared" ca="1" si="229"/>
        <v>1.2</v>
      </c>
      <c r="AH259" s="18" t="str">
        <f t="shared" si="211"/>
        <v>Original</v>
      </c>
      <c r="AI259" s="18" t="str">
        <f t="shared" si="191"/>
        <v>ReplaceInsulation</v>
      </c>
      <c r="AJ259" s="18">
        <f t="shared" si="192"/>
        <v>1960</v>
      </c>
      <c r="AK259" s="17">
        <f>MATCH(AJ259,Tab.Year.Period!$11:$11,1)-3</f>
        <v>5</v>
      </c>
      <c r="AL259" s="17">
        <f>MATCH(AL$88&amp;"."&amp;TEXT(AK259,"00"),Tab.Insulation.Default!$A:$A,0)</f>
        <v>16</v>
      </c>
      <c r="AM259" s="20" t="e">
        <f ca="1">IF(ISNA(IF(S259="",#N/A,S259)),OFFSET(Tab.Insulation.Default!$A$1,$AL259-1,MATCH(AM$87&amp;"_"&amp;$K259,Tab.Insulation.Default!$1:$1,0)-1),#N/A)</f>
        <v>#N/A</v>
      </c>
      <c r="AN259" s="27">
        <f t="shared" si="193"/>
        <v>0</v>
      </c>
      <c r="AO259" s="22">
        <f ca="1">IF(ISNA(IF(V259="",#N/A,V259)),OFFSET(Tab.Insulation.Default!$A$1,$AL259-1,MATCH(AO$87&amp;"_"&amp;$K259,Tab.Insulation.Default!$1:$1,0)-1),#N/A)</f>
        <v>0.05</v>
      </c>
      <c r="AP259" s="23">
        <f t="shared" ca="1" si="194"/>
        <v>0.05</v>
      </c>
      <c r="AQ259" s="29" t="str">
        <f t="shared" si="212"/>
        <v>Gen.Refurbished.05</v>
      </c>
      <c r="AR259" s="17">
        <f>MATCH(AR$88&amp;"."&amp;AQ259,Tab.Measure.f.Default!$A:$A,0)</f>
        <v>16</v>
      </c>
      <c r="AS259" s="21">
        <f ca="1">OFFSET(Tab.Measure.f.Default!$A$1,AR259-1,MATCH(AS$87&amp;"_"&amp;$J259,Tab.Measure.f.Default!$1:$1,0)-1)</f>
        <v>0.75</v>
      </c>
      <c r="AT259" s="29" t="str">
        <f t="shared" si="213"/>
        <v>MUH.NA.05</v>
      </c>
      <c r="AU259" s="17">
        <f>MATCH(AU$88&amp;"."&amp;AT259,Tab.Measure.f.Default!$A:$A,0)</f>
        <v>40</v>
      </c>
      <c r="AV259" s="21">
        <f ca="1">OFFSET(Tab.Measure.f.Default!$A$1,AU259-1,MATCH(AV$87&amp;"_"&amp;$J259,Tab.Measure.f.Default!$1:$1,0)-1)</f>
        <v>0.37</v>
      </c>
      <c r="AW259" s="30">
        <f t="shared" si="195"/>
        <v>0</v>
      </c>
      <c r="AX259" s="9">
        <f t="shared" ca="1" si="214"/>
        <v>0.83333333333333337</v>
      </c>
      <c r="AY259" s="9">
        <f t="shared" si="215"/>
        <v>0</v>
      </c>
      <c r="AZ259" s="9">
        <f t="shared" ca="1" si="242"/>
        <v>0.83333333333333337</v>
      </c>
      <c r="BA259" s="9">
        <f t="shared" ca="1" si="243"/>
        <v>1.2</v>
      </c>
      <c r="BB259" s="9">
        <f t="shared" ca="1" si="216"/>
        <v>1.2</v>
      </c>
      <c r="BC259" s="32" t="str">
        <f t="shared" si="217"/>
        <v>D</v>
      </c>
      <c r="BD259" s="20" t="str">
        <f ca="1">OFFSET(Tab.Uncertainty.Levels!$A$1,MATCH(BD$88,Tab.Uncertainty.Levels!$A:$A,0)-1,MATCH(BD$87&amp;"_"&amp;BC259,Tab.Uncertainty.Levels!$1:$1,0)-1)</f>
        <v>Use of default values; building constructed until 1983</v>
      </c>
      <c r="BE259" s="24">
        <f ca="1">OFFSET(Tab.Uncertainty.Levels!$A$1,MATCH(BE$88,Tab.Uncertainty.Levels!$A:$A,0)-1,MATCH(BE$87&amp;"_"&amp;BC259,Tab.Uncertainty.Levels!$1:$1,0)-1)</f>
        <v>0.3</v>
      </c>
      <c r="BF259" s="32" t="str">
        <f t="shared" si="218"/>
        <v>-</v>
      </c>
      <c r="BG259" s="20" t="e">
        <f ca="1">OFFSET(Tab.Uncertainty.Levels!$A$1,MATCH(BG$88,Tab.Uncertainty.Levels!$A:$A,0)-1,MATCH(BG$87&amp;"_"&amp;BF259,Tab.Uncertainty.Levels!$1:$1,0)-1)</f>
        <v>#N/A</v>
      </c>
      <c r="BH259" s="24" t="e">
        <f ca="1">OFFSET(Tab.Uncertainty.Levels!$A$1,MATCH(BH$88,Tab.Uncertainty.Levels!$A:$A,0)-1,MATCH(BH$87&amp;"_"&amp;BF259,Tab.Uncertainty.Levels!$1:$1,0)-1)</f>
        <v>#N/A</v>
      </c>
      <c r="BI259" s="32" t="str">
        <f t="shared" si="224"/>
        <v>D</v>
      </c>
      <c r="BJ259" s="13">
        <f ca="1">IF(BF259="-",BE259,BH259)</f>
        <v>0.3</v>
      </c>
      <c r="BK259" s="32" t="str">
        <f>IF(OR($L259="NoDataSource",IFERROR(IF($S259="",#N/A,$S259),0)=0),IF(IFERROR(IF(U259="",#N/A,U259),0)=0,"E","D"),IF($L259="DesignDataPlusQA","A",IF($L259="DesignData","B","C")))</f>
        <v>E</v>
      </c>
      <c r="BL259" s="20" t="str">
        <f ca="1">OFFSET(Tab.Uncertainty.Levels!$A$1,MATCH(BL$88,Tab.Uncertainty.Levels!$A:$A,0)-1,MATCH(BL$87&amp;"_"&amp;BK259,Tab.Uncertainty.Levels!$1:$1,0)-1)</f>
        <v>Insulation available; insulation thickness and year of implementation unknown</v>
      </c>
      <c r="BM259" s="24">
        <f ca="1">OFFSET(Tab.Uncertainty.Levels!$A$1,MATCH(BM$88,Tab.Uncertainty.Levels!$A:$A,0)-1,MATCH(BM$87&amp;"_"&amp;BK259,Tab.Uncertainty.Levels!$1:$1,0)-1)</f>
        <v>0.5</v>
      </c>
      <c r="BN259" s="34">
        <f ca="1">OFFSET(Tab.Uncertainty.Levels!$A$1,MATCH(BN$88,Tab.Uncertainty.Levels!$A:$A,0)-1,MATCH(BN$87&amp;"_"&amp;BK259,Tab.Uncertainty.Levels!$1:$1,0)-1)</f>
        <v>8</v>
      </c>
      <c r="BO259" s="13">
        <f ca="1">IFERROR(MIN(BM259,BN259/AN259),0)</f>
        <v>0</v>
      </c>
      <c r="BP259" s="32" t="str">
        <f>IF(OR($L259="NoDataSource",IFERROR(IF($V259="",#N/A,$V259),0)=0),IF(IFERROR(IF(U259="",#N/A,U259),0)=0,"E","D"),IF($L259="DesignDataPlusQA","A",IF($L259="DesignData","B","C")))</f>
        <v>E</v>
      </c>
      <c r="BQ259" s="20" t="str">
        <f ca="1">OFFSET(Tab.Uncertainty.Levels!$A$1,MATCH(BQ$88,Tab.Uncertainty.Levels!$A:$A,0)-1,MATCH(BQ$87&amp;"_"&amp;BP259,Tab.Uncertainty.Levels!$1:$1,0)-1)</f>
        <v>Insulation available; no information about material and year of implementation</v>
      </c>
      <c r="BR259" s="97">
        <f ca="1">OFFSET(Tab.Uncertainty.Levels!$A$1,MATCH(BR$88,Tab.Uncertainty.Levels!$A:$A,0)-1,MATCH(BR$87&amp;"_"&amp;BP259,Tab.Uncertainty.Levels!$1:$1,0)-1)</f>
        <v>0.3</v>
      </c>
      <c r="BS259" s="32" t="str">
        <f>IF(L259="NoDataSource","D",IF(IFERROR(IF($T259="",#N/A,$T259),0)=0,IF(OR(IFERROR(IF($S259="",#N/A,$S259),0)&gt;0,$R259="Refurbish"),"D","E"),IF($L259="DesignDataPlusQA","A",IF($L259="DesignData","B","C"))))</f>
        <v>E</v>
      </c>
      <c r="BT259" s="20" t="str">
        <f ca="1">OFFSET(Tab.Uncertainty.Levels!$A$1,MATCH(BT$88,Tab.Uncertainty.Levels!$A:$A,0)-1,MATCH(BT$87&amp;"_"&amp;BS259,Tab.Uncertainty.Levels!$1:$1,0)-1)</f>
        <v>Unknown if insulation has been applied (default fraction value is the average insulation fraction for all buildings)</v>
      </c>
      <c r="BU259" s="33">
        <f ca="1">OFFSET(Tab.Uncertainty.Levels!$A$1,MATCH(BU$88,Tab.Uncertainty.Levels!$A:$A,0)-1,MATCH(BU$87&amp;"_"&amp;BS259,Tab.Uncertainty.Levels!$1:$1,0)-1)</f>
        <v>0.5</v>
      </c>
      <c r="BV259" s="13">
        <f ca="1">IFERROR(MIN(BU259/AW259,1,(1-AW259)/AW259),0)</f>
        <v>0</v>
      </c>
      <c r="BW259" s="96">
        <f ca="1">ABS(1+(AW259*(1/(1+AN259/100/AP259*AG259)^2-1)))*BJ259*$AG259</f>
        <v>0.36</v>
      </c>
      <c r="BX259" s="96">
        <f ca="1">ABS(-AG259+1/(1/AG259+AN259/100/AP259))*BV259*AW259</f>
        <v>0</v>
      </c>
      <c r="BY259" s="96">
        <f ca="1">ABS(-AW259*AP259/((AP259/AG259+AN259/100)^2))*(BO259*AN259/100)</f>
        <v>0</v>
      </c>
      <c r="BZ259" s="202">
        <f ca="1">ABS(AW259*AN259/100/(1/AG259*AP259+AN259/100)^2)*(BR259*AP259)</f>
        <v>0</v>
      </c>
      <c r="CA259" s="103">
        <f t="shared" ca="1" si="198"/>
        <v>0.36</v>
      </c>
      <c r="CB259" s="37">
        <f t="shared" ca="1" si="219"/>
        <v>0.3</v>
      </c>
      <c r="CC259" s="37">
        <f t="shared" ca="1" si="220"/>
        <v>0</v>
      </c>
      <c r="CD259" s="37">
        <f t="shared" ca="1" si="221"/>
        <v>0</v>
      </c>
      <c r="CE259" s="37">
        <f t="shared" ca="1" si="222"/>
        <v>0</v>
      </c>
      <c r="CF259" s="13">
        <f t="shared" ca="1" si="223"/>
        <v>0.3</v>
      </c>
      <c r="CG259" s="101">
        <f ca="1">AG259</f>
        <v>1.2</v>
      </c>
      <c r="CH259" s="101">
        <f>AW259</f>
        <v>0</v>
      </c>
      <c r="CI259" s="203">
        <f>IF(CH259&gt;0,AN259,0)</f>
        <v>0</v>
      </c>
      <c r="CJ259" s="102">
        <f>IF(AND(CH259&gt;0,CI259&gt;0),AP259,0)</f>
        <v>0</v>
      </c>
      <c r="CK259" s="102">
        <f ca="1">BB259</f>
        <v>1.2</v>
      </c>
      <c r="CL259" s="37">
        <f t="shared" ca="1" si="230"/>
        <v>0.3</v>
      </c>
      <c r="CM259" s="37">
        <f t="shared" ca="1" si="231"/>
        <v>0</v>
      </c>
      <c r="CN259" s="37">
        <f t="shared" ca="1" si="232"/>
        <v>0</v>
      </c>
      <c r="CO259" s="37">
        <f t="shared" ca="1" si="233"/>
        <v>0.3</v>
      </c>
      <c r="CP259" s="37">
        <f t="shared" ca="1" si="234"/>
        <v>0.3</v>
      </c>
      <c r="CQ259" s="95">
        <f t="shared" ca="1" si="235"/>
        <v>0.36</v>
      </c>
      <c r="CR259" s="95">
        <f t="shared" ca="1" si="236"/>
        <v>0</v>
      </c>
      <c r="CS259" s="95">
        <f t="shared" ca="1" si="237"/>
        <v>0</v>
      </c>
      <c r="CT259" s="103">
        <f t="shared" ca="1" si="238"/>
        <v>0</v>
      </c>
      <c r="CU259" s="95">
        <f t="shared" ca="1" si="239"/>
        <v>0.36</v>
      </c>
      <c r="CV259" s="37">
        <f ca="1">$CB259^2/$CF259^2</f>
        <v>1</v>
      </c>
      <c r="CW259" s="37">
        <f ca="1">$CD259^2/$CF259^2</f>
        <v>0</v>
      </c>
      <c r="CX259" s="37">
        <f ca="1">$CE259^2/$CF259^2</f>
        <v>0</v>
      </c>
      <c r="CY259" s="37">
        <f ca="1">$CC259^2/$CF259^2</f>
        <v>0</v>
      </c>
      <c r="DA259" s="98" t="s">
        <v>214</v>
      </c>
      <c r="DB259" s="36">
        <f ca="1">OFFSET($A$1,ROW(DB259)-1,MATCH(DA259,$1:$1,0)-1)</f>
        <v>0</v>
      </c>
      <c r="DC259" s="9">
        <f ca="1">BB259</f>
        <v>1.2</v>
      </c>
      <c r="DD259" s="9">
        <f ca="1">$DC259+$CA259</f>
        <v>1.56</v>
      </c>
      <c r="DE259" s="9">
        <f ca="1">$DC259-$CA259</f>
        <v>0.84</v>
      </c>
      <c r="DF259" s="10">
        <f t="shared" ca="1" si="181"/>
        <v>0.30000000000000004</v>
      </c>
    </row>
    <row r="260" spans="1:110" s="8" customFormat="1" ht="32.4" customHeight="1">
      <c r="A260" s="206" t="s">
        <v>696</v>
      </c>
      <c r="B260" s="208" t="s">
        <v>2348</v>
      </c>
      <c r="C260" s="206" t="str">
        <f>E260&amp;" = "&amp;F260</f>
        <v>Parameter-Variation: Code_DataSources = DesignDataPlusQA</v>
      </c>
      <c r="D260" s="206"/>
      <c r="E260" s="206" t="s">
        <v>202</v>
      </c>
      <c r="F260" s="206" t="str">
        <f>L260</f>
        <v>DesignDataPlusQA</v>
      </c>
      <c r="G260" s="206" t="s">
        <v>2170</v>
      </c>
      <c r="H260" s="206" t="s">
        <v>2171</v>
      </c>
      <c r="I260" s="156" t="s">
        <v>80</v>
      </c>
      <c r="J260" s="156" t="s">
        <v>134</v>
      </c>
      <c r="K260" s="156" t="s">
        <v>155</v>
      </c>
      <c r="L260" s="156" t="s">
        <v>68</v>
      </c>
      <c r="M260" s="156" t="s">
        <v>188</v>
      </c>
      <c r="N260" s="7">
        <v>1960</v>
      </c>
      <c r="O260" s="156">
        <v>1</v>
      </c>
      <c r="P260" s="156">
        <v>0</v>
      </c>
      <c r="Q260" s="156" t="s">
        <v>435</v>
      </c>
      <c r="R260" s="156" t="s">
        <v>58</v>
      </c>
      <c r="S260" s="19">
        <v>12</v>
      </c>
      <c r="T260" s="19">
        <v>1</v>
      </c>
      <c r="U260" s="19">
        <v>2016</v>
      </c>
      <c r="V260" s="19">
        <v>3.5000000000000003E-2</v>
      </c>
      <c r="W260" s="28" t="s">
        <v>59</v>
      </c>
      <c r="X260" s="19" t="e">
        <v>#N/A</v>
      </c>
      <c r="Y260" s="105">
        <f ca="1">IFERROR(OFFSET(Tab.Const.ConstrBorder!$A$1,MATCH(Q260,Tab.Const.ConstrBorder!$A:$A,0)-1,MATCH(Y$87,Tab.Const.ConstrBorder!$1:$1,0)-1),0)</f>
        <v>0</v>
      </c>
      <c r="Z260" s="18">
        <f t="shared" si="188"/>
        <v>1960</v>
      </c>
      <c r="AA260" s="17">
        <f>MATCH(Z260,Tab.Year.Period!$11:$11,1)-3</f>
        <v>5</v>
      </c>
      <c r="AB260" s="17">
        <f>MATCH(AB$88&amp;"."&amp;TEXT(AA260,"00"),Tab.U.Default!$A:$A,0)</f>
        <v>28</v>
      </c>
      <c r="AC260" s="105">
        <f ca="1">OFFSET(Tab.U.Default!$A$1,$AB260-1,MATCH("U_Class_"&amp;IF($J260="TopCeiling","UpperCeiling",$J260)&amp;"_"&amp;AC$87,Tab.U.Default!$1:$1,0)-1)</f>
        <v>1.2</v>
      </c>
      <c r="AD260" s="105">
        <f ca="1">OFFSET(Tab.U.Default!$A$1,$AB260-1,MATCH("U_Class_"&amp;IF($J260="TopCeiling","UpperCeiling",$J260)&amp;"_"&amp;AD$87,Tab.U.Default!$1:$1,0)-1)</f>
        <v>1.2</v>
      </c>
      <c r="AE260" s="105">
        <f ca="1">OFFSET(Tab.U.Default!$A$1,$AB260-1,MATCH("U_Class_"&amp;IF($J260="TopCeiling","UpperCeiling",$J260)&amp;"_"&amp;AE$87,Tab.U.Default!$1:$1,0)-1)</f>
        <v>0.8</v>
      </c>
      <c r="AF260" s="26">
        <f t="shared" ca="1" si="189"/>
        <v>1.2</v>
      </c>
      <c r="AG260" s="26">
        <f t="shared" ca="1" si="229"/>
        <v>1.2</v>
      </c>
      <c r="AH260" s="18" t="str">
        <f t="shared" si="211"/>
        <v>Refurbish</v>
      </c>
      <c r="AI260" s="18" t="str">
        <f t="shared" si="191"/>
        <v>Add</v>
      </c>
      <c r="AJ260" s="18">
        <f t="shared" si="192"/>
        <v>2016</v>
      </c>
      <c r="AK260" s="17">
        <f>MATCH(AJ260,Tab.Year.Period!$11:$11,1)-3</f>
        <v>12</v>
      </c>
      <c r="AL260" s="17">
        <f>MATCH(AL$88&amp;"."&amp;TEXT(AK260,"00"),Tab.Insulation.Default!$A:$A,0)</f>
        <v>23</v>
      </c>
      <c r="AM260" s="20" t="e">
        <f ca="1">IF(ISNA(IF(S260="",#N/A,S260)),OFFSET(Tab.Insulation.Default!$A$1,$AL260-1,MATCH(AM$87&amp;"_"&amp;$K260,Tab.Insulation.Default!$1:$1,0)-1),#N/A)</f>
        <v>#N/A</v>
      </c>
      <c r="AN260" s="27">
        <f t="shared" si="193"/>
        <v>12</v>
      </c>
      <c r="AO260" s="22" t="e">
        <f ca="1">IF(ISNA(IF(V260="",#N/A,V260)),OFFSET(Tab.Insulation.Default!$A$1,$AL260-1,MATCH(AO$87&amp;"_"&amp;$K260,Tab.Insulation.Default!$1:$1,0)-1),#N/A)</f>
        <v>#N/A</v>
      </c>
      <c r="AP260" s="23">
        <f t="shared" si="194"/>
        <v>3.5000000000000003E-2</v>
      </c>
      <c r="AQ260" s="29" t="str">
        <f t="shared" si="212"/>
        <v>Gen.Refurbished.12</v>
      </c>
      <c r="AR260" s="17">
        <f>MATCH(AR$88&amp;"."&amp;AQ260,Tab.Measure.f.Default!$A:$A,0)</f>
        <v>23</v>
      </c>
      <c r="AS260" s="21">
        <f ca="1">OFFSET(Tab.Measure.f.Default!$A$1,AR260-1,MATCH(AS$87&amp;"_"&amp;$J260,Tab.Measure.f.Default!$1:$1,0)-1)</f>
        <v>0.75</v>
      </c>
      <c r="AT260" s="29" t="str">
        <f t="shared" si="213"/>
        <v>MUH.NA.05</v>
      </c>
      <c r="AU260" s="17">
        <f>MATCH(AU$88&amp;"."&amp;AT260,Tab.Measure.f.Default!$A:$A,0)</f>
        <v>40</v>
      </c>
      <c r="AV260" s="21">
        <f ca="1">OFFSET(Tab.Measure.f.Default!$A$1,AU260-1,MATCH(AV$87&amp;"_"&amp;$J260,Tab.Measure.f.Default!$1:$1,0)-1)</f>
        <v>0.37</v>
      </c>
      <c r="AW260" s="30">
        <f t="shared" si="195"/>
        <v>1</v>
      </c>
      <c r="AX260" s="9">
        <f t="shared" ca="1" si="214"/>
        <v>0.83333333333333337</v>
      </c>
      <c r="AY260" s="9">
        <f t="shared" si="215"/>
        <v>3.4285714285714279</v>
      </c>
      <c r="AZ260" s="9">
        <f ca="1">AX260+AY260</f>
        <v>4.261904761904761</v>
      </c>
      <c r="BA260" s="9">
        <f ca="1">1/AZ260</f>
        <v>0.23463687150837995</v>
      </c>
      <c r="BB260" s="9">
        <f t="shared" ca="1" si="216"/>
        <v>0.23463687150837995</v>
      </c>
      <c r="BC260" s="32" t="str">
        <f t="shared" si="217"/>
        <v>D</v>
      </c>
      <c r="BD260" s="20" t="str">
        <f ca="1">OFFSET(Tab.Uncertainty.Levels!$A$1,MATCH(BD$88,Tab.Uncertainty.Levels!$A:$A,0)-1,MATCH(BD$87&amp;"_"&amp;BC260,Tab.Uncertainty.Levels!$1:$1,0)-1)</f>
        <v>Use of default values; building constructed until 1983</v>
      </c>
      <c r="BE260" s="24">
        <f ca="1">OFFSET(Tab.Uncertainty.Levels!$A$1,MATCH(BE$88,Tab.Uncertainty.Levels!$A:$A,0)-1,MATCH(BE$87&amp;"_"&amp;BC260,Tab.Uncertainty.Levels!$1:$1,0)-1)</f>
        <v>0.3</v>
      </c>
      <c r="BF260" s="32" t="str">
        <f t="shared" si="218"/>
        <v>-</v>
      </c>
      <c r="BG260" s="20" t="e">
        <f ca="1">OFFSET(Tab.Uncertainty.Levels!$A$1,MATCH(BG$88,Tab.Uncertainty.Levels!$A:$A,0)-1,MATCH(BG$87&amp;"_"&amp;BF260,Tab.Uncertainty.Levels!$1:$1,0)-1)</f>
        <v>#N/A</v>
      </c>
      <c r="BH260" s="24" t="e">
        <f ca="1">OFFSET(Tab.Uncertainty.Levels!$A$1,MATCH(BH$88,Tab.Uncertainty.Levels!$A:$A,0)-1,MATCH(BH$87&amp;"_"&amp;BF260,Tab.Uncertainty.Levels!$1:$1,0)-1)</f>
        <v>#N/A</v>
      </c>
      <c r="BI260" s="32" t="str">
        <f t="shared" si="224"/>
        <v>D</v>
      </c>
      <c r="BJ260" s="13">
        <f ca="1">IF(BF260="-",BE260,BH260)</f>
        <v>0.3</v>
      </c>
      <c r="BK260" s="32" t="str">
        <f>IF(OR($L260="NoDataSource",IFERROR(IF($S260="",#N/A,$S260),0)=0),IF(IFERROR(IF(U260="",#N/A,U260),0)=0,"E","D"),IF($L260="DesignDataPlusQA","A",IF($L260="DesignData","B","C")))</f>
        <v>A</v>
      </c>
      <c r="BL260" s="20" t="str">
        <f ca="1">OFFSET(Tab.Uncertainty.Levels!$A$1,MATCH(BL$88,Tab.Uncertainty.Levels!$A:$A,0)-1,MATCH(BL$87&amp;"_"&amp;BK260,Tab.Uncertainty.Levels!$1:$1,0)-1)</f>
        <v>Insulation thickness from design data, quality assured</v>
      </c>
      <c r="BM260" s="24">
        <f ca="1">OFFSET(Tab.Uncertainty.Levels!$A$1,MATCH(BM$88,Tab.Uncertainty.Levels!$A:$A,0)-1,MATCH(BM$87&amp;"_"&amp;BK260,Tab.Uncertainty.Levels!$1:$1,0)-1)</f>
        <v>0.05</v>
      </c>
      <c r="BN260" s="34">
        <f ca="1">OFFSET(Tab.Uncertainty.Levels!$A$1,MATCH(BN$88,Tab.Uncertainty.Levels!$A:$A,0)-1,MATCH(BN$87&amp;"_"&amp;BK260,Tab.Uncertainty.Levels!$1:$1,0)-1)</f>
        <v>0.5</v>
      </c>
      <c r="BO260" s="13">
        <f ca="1">IFERROR(MIN(BM260,BN260/AN260),0)</f>
        <v>4.1666666666666664E-2</v>
      </c>
      <c r="BP260" s="32" t="str">
        <f>IF(OR($L260="NoDataSource",IFERROR(IF($V260="",#N/A,$V260),0)=0),IF(IFERROR(IF(U260="",#N/A,U260),0)=0,"E","D"),IF($L260="DesignDataPlusQA","A",IF($L260="DesignData","B","C")))</f>
        <v>A</v>
      </c>
      <c r="BQ260" s="20" t="str">
        <f ca="1">OFFSET(Tab.Uncertainty.Levels!$A$1,MATCH(BQ$88,Tab.Uncertainty.Levels!$A:$A,0)-1,MATCH(BQ$87&amp;"_"&amp;BP260,Tab.Uncertainty.Levels!$1:$1,0)-1)</f>
        <v>Thermal conductivity of insulation from design data, quality assured</v>
      </c>
      <c r="BR260" s="97">
        <f ca="1">OFFSET(Tab.Uncertainty.Levels!$A$1,MATCH(BR$88,Tab.Uncertainty.Levels!$A:$A,0)-1,MATCH(BR$87&amp;"_"&amp;BP260,Tab.Uncertainty.Levels!$1:$1,0)-1)</f>
        <v>0.05</v>
      </c>
      <c r="BS260" s="32" t="str">
        <f>IF(L260="NoDataSource","D",IF(IFERROR(IF($T260="",#N/A,$T260),0)=0,IF(OR(IFERROR(IF($S260="",#N/A,$S260),0)&gt;0,$R260="Refurbish"),"D","E"),IF($L260="DesignDataPlusQA","A",IF($L260="DesignData","B","C"))))</f>
        <v>A</v>
      </c>
      <c r="BT260" s="20" t="str">
        <f ca="1">OFFSET(Tab.Uncertainty.Levels!$A$1,MATCH(BT$88,Tab.Uncertainty.Levels!$A:$A,0)-1,MATCH(BT$87&amp;"_"&amp;BS260,Tab.Uncertainty.Levels!$1:$1,0)-1)</f>
        <v>Insulation fraction from design data, quality assured</v>
      </c>
      <c r="BU260" s="33">
        <f ca="1">OFFSET(Tab.Uncertainty.Levels!$A$1,MATCH(BU$88,Tab.Uncertainty.Levels!$A:$A,0)-1,MATCH(BU$87&amp;"_"&amp;BS260,Tab.Uncertainty.Levels!$1:$1,0)-1)</f>
        <v>0.05</v>
      </c>
      <c r="BV260" s="13">
        <f ca="1">IFERROR(MIN(BU260/AW260,1,(1-AW260)/AW260),0)</f>
        <v>0</v>
      </c>
      <c r="BW260" s="96">
        <f ca="1">ABS(1+(AW260*(1/(1+AN260/100/AP260*AG260)^2-1)))*BJ260*$AG260</f>
        <v>1.3763615367809984E-2</v>
      </c>
      <c r="BX260" s="96">
        <f ca="1">ABS(-AG260+1/(1/AG260+AN260/100/AP260))*BV260*AW260</f>
        <v>0</v>
      </c>
      <c r="BY260" s="96">
        <f ca="1">ABS(-AW260*AP260/((AP260/AG260+AN260/100)^2))*(BO260*AN260/100)</f>
        <v>7.8649230673199962E-3</v>
      </c>
      <c r="BZ260" s="202">
        <f ca="1">ABS(AW260*AN260/100/(1/AG260*AP260+AN260/100)^2)*(BR260*AP260)</f>
        <v>9.4379076807839975E-3</v>
      </c>
      <c r="CA260" s="103">
        <f t="shared" ca="1" si="198"/>
        <v>1.8449071094200891E-2</v>
      </c>
      <c r="CB260" s="37">
        <f t="shared" ca="1" si="219"/>
        <v>5.8659217877094917E-2</v>
      </c>
      <c r="CC260" s="37">
        <f t="shared" ca="1" si="220"/>
        <v>0</v>
      </c>
      <c r="CD260" s="37">
        <f t="shared" ca="1" si="221"/>
        <v>3.3519553072625691E-2</v>
      </c>
      <c r="CE260" s="37">
        <f t="shared" ca="1" si="222"/>
        <v>4.0223463687150837E-2</v>
      </c>
      <c r="CF260" s="13">
        <f t="shared" ca="1" si="223"/>
        <v>7.8628183949094252E-2</v>
      </c>
      <c r="CG260" s="101">
        <f ca="1">AG260</f>
        <v>1.2</v>
      </c>
      <c r="CH260" s="101">
        <f>AW260</f>
        <v>1</v>
      </c>
      <c r="CI260" s="203">
        <f>IF(CH260&gt;0,AN260,0)</f>
        <v>12</v>
      </c>
      <c r="CJ260" s="102">
        <f>IF(AND(CH260&gt;0,CI260&gt;0),AP260,0)</f>
        <v>3.5000000000000003E-2</v>
      </c>
      <c r="CK260" s="102">
        <f ca="1">BB260</f>
        <v>0.23463687150837995</v>
      </c>
      <c r="CL260" s="37">
        <f t="shared" ca="1" si="230"/>
        <v>0.3</v>
      </c>
      <c r="CM260" s="37">
        <f t="shared" ca="1" si="231"/>
        <v>0</v>
      </c>
      <c r="CN260" s="37">
        <f t="shared" ca="1" si="232"/>
        <v>4.1666666666666664E-2</v>
      </c>
      <c r="CO260" s="37">
        <f t="shared" ca="1" si="233"/>
        <v>0.05</v>
      </c>
      <c r="CP260" s="37">
        <f t="shared" ca="1" si="234"/>
        <v>7.8628183949094252E-2</v>
      </c>
      <c r="CQ260" s="95">
        <f t="shared" ca="1" si="235"/>
        <v>0.36</v>
      </c>
      <c r="CR260" s="95">
        <f t="shared" ca="1" si="236"/>
        <v>0</v>
      </c>
      <c r="CS260" s="95">
        <f t="shared" ca="1" si="237"/>
        <v>0.5</v>
      </c>
      <c r="CT260" s="103">
        <f t="shared" ca="1" si="238"/>
        <v>1.7500000000000003E-3</v>
      </c>
      <c r="CU260" s="95">
        <f t="shared" ca="1" si="239"/>
        <v>1.8449071094200891E-2</v>
      </c>
      <c r="CV260" s="37">
        <f ca="1">$CB260^2/$CF260^2</f>
        <v>0.55656519763743728</v>
      </c>
      <c r="CW260" s="37">
        <f ca="1">$CD260^2/$CF260^2</f>
        <v>0.18173557473875526</v>
      </c>
      <c r="CX260" s="37">
        <f ca="1">$CE260^2/$CF260^2</f>
        <v>0.26169922762380771</v>
      </c>
      <c r="CY260" s="37">
        <f ca="1">$CC260^2/$CF260^2</f>
        <v>0</v>
      </c>
      <c r="DA260" s="98" t="s">
        <v>214</v>
      </c>
      <c r="DB260" s="36">
        <f ca="1">OFFSET($A$1,ROW(DB260)-1,MATCH(DA260,$1:$1,0)-1)</f>
        <v>12</v>
      </c>
      <c r="DC260" s="9">
        <f ca="1">BB260</f>
        <v>0.23463687150837995</v>
      </c>
      <c r="DD260" s="9">
        <f ca="1">$DC260+$CA260</f>
        <v>0.25308594260258083</v>
      </c>
      <c r="DE260" s="9">
        <f ca="1">$DC260-$CA260</f>
        <v>0.21618780041417907</v>
      </c>
      <c r="DF260" s="10">
        <f t="shared" ref="DF260:DF276" ca="1" si="245">0.5*(DD260-DE260)/DC260</f>
        <v>7.862818394909421E-2</v>
      </c>
    </row>
    <row r="261" spans="1:110" s="8" customFormat="1" ht="32.4" customHeight="1">
      <c r="A261" s="206" t="s">
        <v>697</v>
      </c>
      <c r="B261" s="208" t="s">
        <v>2348</v>
      </c>
      <c r="C261" s="206" t="str">
        <f>E261&amp;" = "&amp;F261</f>
        <v>Parameter-Variation: Code_DataSources = DesignData</v>
      </c>
      <c r="D261" s="206"/>
      <c r="E261" s="206" t="s">
        <v>202</v>
      </c>
      <c r="F261" s="206" t="str">
        <f>L261</f>
        <v>DesignData</v>
      </c>
      <c r="G261" s="206" t="s">
        <v>2170</v>
      </c>
      <c r="H261" s="206" t="s">
        <v>2171</v>
      </c>
      <c r="I261" s="156" t="s">
        <v>80</v>
      </c>
      <c r="J261" s="156" t="s">
        <v>134</v>
      </c>
      <c r="K261" s="156" t="s">
        <v>155</v>
      </c>
      <c r="L261" s="156" t="s">
        <v>67</v>
      </c>
      <c r="M261" s="156" t="s">
        <v>188</v>
      </c>
      <c r="N261" s="7">
        <v>1960</v>
      </c>
      <c r="O261" s="156">
        <v>1</v>
      </c>
      <c r="P261" s="156">
        <v>0</v>
      </c>
      <c r="Q261" s="156" t="s">
        <v>435</v>
      </c>
      <c r="R261" s="156" t="s">
        <v>58</v>
      </c>
      <c r="S261" s="19">
        <v>12</v>
      </c>
      <c r="T261" s="19">
        <v>1</v>
      </c>
      <c r="U261" s="19">
        <v>2016</v>
      </c>
      <c r="V261" s="19">
        <v>3.5000000000000003E-2</v>
      </c>
      <c r="W261" s="28" t="s">
        <v>59</v>
      </c>
      <c r="X261" s="19" t="e">
        <v>#N/A</v>
      </c>
      <c r="Y261" s="105">
        <f ca="1">IFERROR(OFFSET(Tab.Const.ConstrBorder!$A$1,MATCH(Q261,Tab.Const.ConstrBorder!$A:$A,0)-1,MATCH(Y$87,Tab.Const.ConstrBorder!$1:$1,0)-1),0)</f>
        <v>0</v>
      </c>
      <c r="Z261" s="18">
        <f t="shared" si="188"/>
        <v>1960</v>
      </c>
      <c r="AA261" s="17">
        <f>MATCH(Z261,Tab.Year.Period!$11:$11,1)-3</f>
        <v>5</v>
      </c>
      <c r="AB261" s="17">
        <f>MATCH(AB$88&amp;"."&amp;TEXT(AA261,"00"),Tab.U.Default!$A:$A,0)</f>
        <v>28</v>
      </c>
      <c r="AC261" s="105">
        <f ca="1">OFFSET(Tab.U.Default!$A$1,$AB261-1,MATCH("U_Class_"&amp;IF($J261="TopCeiling","UpperCeiling",$J261)&amp;"_"&amp;AC$87,Tab.U.Default!$1:$1,0)-1)</f>
        <v>1.2</v>
      </c>
      <c r="AD261" s="105">
        <f ca="1">OFFSET(Tab.U.Default!$A$1,$AB261-1,MATCH("U_Class_"&amp;IF($J261="TopCeiling","UpperCeiling",$J261)&amp;"_"&amp;AD$87,Tab.U.Default!$1:$1,0)-1)</f>
        <v>1.2</v>
      </c>
      <c r="AE261" s="105">
        <f ca="1">OFFSET(Tab.U.Default!$A$1,$AB261-1,MATCH("U_Class_"&amp;IF($J261="TopCeiling","UpperCeiling",$J261)&amp;"_"&amp;AE$87,Tab.U.Default!$1:$1,0)-1)</f>
        <v>0.8</v>
      </c>
      <c r="AF261" s="26">
        <f t="shared" ca="1" si="189"/>
        <v>1.2</v>
      </c>
      <c r="AG261" s="26">
        <f t="shared" ca="1" si="229"/>
        <v>1.2</v>
      </c>
      <c r="AH261" s="18" t="str">
        <f t="shared" ref="AH261:AH276" si="246">IF(R261&lt;&gt;"_NA_",R261,IF(Z261&lt;AH$88,"Refurbish","Original"))</f>
        <v>Refurbish</v>
      </c>
      <c r="AI261" s="18" t="str">
        <f t="shared" si="191"/>
        <v>Add</v>
      </c>
      <c r="AJ261" s="18">
        <f t="shared" si="192"/>
        <v>2016</v>
      </c>
      <c r="AK261" s="17">
        <f>MATCH(AJ261,Tab.Year.Period!$11:$11,1)-3</f>
        <v>12</v>
      </c>
      <c r="AL261" s="17">
        <f>MATCH(AL$88&amp;"."&amp;TEXT(AK261,"00"),Tab.Insulation.Default!$A:$A,0)</f>
        <v>23</v>
      </c>
      <c r="AM261" s="20" t="e">
        <f ca="1">IF(ISNA(IF(S261="",#N/A,S261)),OFFSET(Tab.Insulation.Default!$A$1,$AL261-1,MATCH(AM$87&amp;"_"&amp;$K261,Tab.Insulation.Default!$1:$1,0)-1),#N/A)</f>
        <v>#N/A</v>
      </c>
      <c r="AN261" s="27">
        <f t="shared" si="193"/>
        <v>12</v>
      </c>
      <c r="AO261" s="22" t="e">
        <f ca="1">IF(ISNA(IF(V261="",#N/A,V261)),OFFSET(Tab.Insulation.Default!$A$1,$AL261-1,MATCH(AO$87&amp;"_"&amp;$K261,Tab.Insulation.Default!$1:$1,0)-1),#N/A)</f>
        <v>#N/A</v>
      </c>
      <c r="AP261" s="23">
        <f t="shared" si="194"/>
        <v>3.5000000000000003E-2</v>
      </c>
      <c r="AQ261" s="29" t="str">
        <f t="shared" ref="AQ261:AQ276" si="247">"Gen.Refurbished."&amp;TEXT(AK261,"00")</f>
        <v>Gen.Refurbished.12</v>
      </c>
      <c r="AR261" s="17">
        <f>MATCH(AR$88&amp;"."&amp;AQ261,Tab.Measure.f.Default!$A:$A,0)</f>
        <v>23</v>
      </c>
      <c r="AS261" s="21">
        <f ca="1">OFFSET(Tab.Measure.f.Default!$A$1,AR261-1,MATCH(AS$87&amp;"_"&amp;$J261,Tab.Measure.f.Default!$1:$1,0)-1)</f>
        <v>0.75</v>
      </c>
      <c r="AT261" s="29" t="str">
        <f t="shared" ref="AT261:AT276" si="248">I261&amp;".NA."&amp;TEXT(AA261,"00")</f>
        <v>MUH.NA.05</v>
      </c>
      <c r="AU261" s="17">
        <f>MATCH(AU$88&amp;"."&amp;AT261,Tab.Measure.f.Default!$A:$A,0)</f>
        <v>40</v>
      </c>
      <c r="AV261" s="21">
        <f ca="1">OFFSET(Tab.Measure.f.Default!$A$1,AU261-1,MATCH(AV$87&amp;"_"&amp;$J261,Tab.Measure.f.Default!$1:$1,0)-1)</f>
        <v>0.37</v>
      </c>
      <c r="AW261" s="30">
        <f t="shared" si="195"/>
        <v>1</v>
      </c>
      <c r="AX261" s="9">
        <f t="shared" ref="AX261:AX276" ca="1" si="249">1/AG261</f>
        <v>0.83333333333333337</v>
      </c>
      <c r="AY261" s="9">
        <f t="shared" ref="AY261:AY276" si="250">IF(AW261&gt;0,AN261/100/AP261,0)</f>
        <v>3.4285714285714279</v>
      </c>
      <c r="AZ261" s="9">
        <f ca="1">AX261+AY261</f>
        <v>4.261904761904761</v>
      </c>
      <c r="BA261" s="9">
        <f ca="1">1/AZ261</f>
        <v>0.23463687150837995</v>
      </c>
      <c r="BB261" s="9">
        <f t="shared" ref="BB261:BB276" ca="1" si="251">(1-AW261)*AG261+AW261*BA261</f>
        <v>0.23463687150837995</v>
      </c>
      <c r="BC261" s="32" t="str">
        <f t="shared" ref="BC261:BC276" si="252">IF(IFERROR(IF(N261="",#N/A,N261),0)=0,"E",IF(N261&gt;=1995,"B",IF(N261&gt;=1983,"C","D")))</f>
        <v>D</v>
      </c>
      <c r="BD261" s="20" t="str">
        <f ca="1">OFFSET(Tab.Uncertainty.Levels!$A$1,MATCH(BD$88,Tab.Uncertainty.Levels!$A:$A,0)-1,MATCH(BD$87&amp;"_"&amp;BC261,Tab.Uncertainty.Levels!$1:$1,0)-1)</f>
        <v>Use of default values; building constructed until 1983</v>
      </c>
      <c r="BE261" s="24">
        <f ca="1">OFFSET(Tab.Uncertainty.Levels!$A$1,MATCH(BE$88,Tab.Uncertainty.Levels!$A:$A,0)-1,MATCH(BE$87&amp;"_"&amp;BC261,Tab.Uncertainty.Levels!$1:$1,0)-1)</f>
        <v>0.3</v>
      </c>
      <c r="BF261" s="32" t="str">
        <f t="shared" ref="BF261:BF276" si="253">IF(AND(NOT(M261="Manual"),ISNA(IF($X261="",#N/A,$X261))),"-",IF($L261="DesignDataPlusQA","A",IF($L261="DesignData","B",IF($L261="InspectionOnSite","C",IF($L261="NoDataSource","E","D")))))</f>
        <v>-</v>
      </c>
      <c r="BG261" s="20" t="e">
        <f ca="1">OFFSET(Tab.Uncertainty.Levels!$A$1,MATCH(BG$88,Tab.Uncertainty.Levels!$A:$A,0)-1,MATCH(BG$87&amp;"_"&amp;BF261,Tab.Uncertainty.Levels!$1:$1,0)-1)</f>
        <v>#N/A</v>
      </c>
      <c r="BH261" s="24" t="e">
        <f ca="1">OFFSET(Tab.Uncertainty.Levels!$A$1,MATCH(BH$88,Tab.Uncertainty.Levels!$A:$A,0)-1,MATCH(BH$87&amp;"_"&amp;BF261,Tab.Uncertainty.Levels!$1:$1,0)-1)</f>
        <v>#N/A</v>
      </c>
      <c r="BI261" s="32" t="str">
        <f t="shared" si="224"/>
        <v>D</v>
      </c>
      <c r="BJ261" s="13">
        <f ca="1">IF(BF261="-",BE261,BH261)</f>
        <v>0.3</v>
      </c>
      <c r="BK261" s="32" t="str">
        <f>IF(OR($L261="NoDataSource",IFERROR(IF($S261="",#N/A,$S261),0)=0),IF(IFERROR(IF(U261="",#N/A,U261),0)=0,"E","D"),IF($L261="DesignDataPlusQA","A",IF($L261="DesignData","B","C")))</f>
        <v>B</v>
      </c>
      <c r="BL261" s="20" t="str">
        <f ca="1">OFFSET(Tab.Uncertainty.Levels!$A$1,MATCH(BL$88,Tab.Uncertainty.Levels!$A:$A,0)-1,MATCH(BL$87&amp;"_"&amp;BK261,Tab.Uncertainty.Levels!$1:$1,0)-1)</f>
        <v>Insulation thickness from design data</v>
      </c>
      <c r="BM261" s="24">
        <f ca="1">OFFSET(Tab.Uncertainty.Levels!$A$1,MATCH(BM$88,Tab.Uncertainty.Levels!$A:$A,0)-1,MATCH(BM$87&amp;"_"&amp;BK261,Tab.Uncertainty.Levels!$1:$1,0)-1)</f>
        <v>0.1</v>
      </c>
      <c r="BN261" s="34">
        <f ca="1">OFFSET(Tab.Uncertainty.Levels!$A$1,MATCH(BN$88,Tab.Uncertainty.Levels!$A:$A,0)-1,MATCH(BN$87&amp;"_"&amp;BK261,Tab.Uncertainty.Levels!$1:$1,0)-1)</f>
        <v>1</v>
      </c>
      <c r="BO261" s="13">
        <f ca="1">IFERROR(MIN(BM261,BN261/AN261),0)</f>
        <v>8.3333333333333329E-2</v>
      </c>
      <c r="BP261" s="32" t="str">
        <f>IF(OR($L261="NoDataSource",IFERROR(IF($V261="",#N/A,$V261),0)=0),IF(IFERROR(IF(U261="",#N/A,U261),0)=0,"E","D"),IF($L261="DesignDataPlusQA","A",IF($L261="DesignData","B","C")))</f>
        <v>B</v>
      </c>
      <c r="BQ261" s="20" t="str">
        <f ca="1">OFFSET(Tab.Uncertainty.Levels!$A$1,MATCH(BQ$88,Tab.Uncertainty.Levels!$A:$A,0)-1,MATCH(BQ$87&amp;"_"&amp;BP261,Tab.Uncertainty.Levels!$1:$1,0)-1)</f>
        <v>Thermal conductivity of insulation from design data</v>
      </c>
      <c r="BR261" s="97">
        <f ca="1">OFFSET(Tab.Uncertainty.Levels!$A$1,MATCH(BR$88,Tab.Uncertainty.Levels!$A:$A,0)-1,MATCH(BR$87&amp;"_"&amp;BP261,Tab.Uncertainty.Levels!$1:$1,0)-1)</f>
        <v>0.1</v>
      </c>
      <c r="BS261" s="32" t="str">
        <f>IF(L261="NoDataSource","D",IF(IFERROR(IF($T261="",#N/A,$T261),0)=0,IF(OR(IFERROR(IF($S261="",#N/A,$S261),0)&gt;0,$R261="Refurbish"),"D","E"),IF($L261="DesignDataPlusQA","A",IF($L261="DesignData","B","C"))))</f>
        <v>B</v>
      </c>
      <c r="BT261" s="20" t="str">
        <f ca="1">OFFSET(Tab.Uncertainty.Levels!$A$1,MATCH(BT$88,Tab.Uncertainty.Levels!$A:$A,0)-1,MATCH(BT$87&amp;"_"&amp;BS261,Tab.Uncertainty.Levels!$1:$1,0)-1)</f>
        <v>Insulation fraction from design data</v>
      </c>
      <c r="BU261" s="33">
        <f ca="1">OFFSET(Tab.Uncertainty.Levels!$A$1,MATCH(BU$88,Tab.Uncertainty.Levels!$A:$A,0)-1,MATCH(BU$87&amp;"_"&amp;BS261,Tab.Uncertainty.Levels!$1:$1,0)-1)</f>
        <v>0.1</v>
      </c>
      <c r="BV261" s="13">
        <f ca="1">IFERROR(MIN(BU261/AW261,1,(1-AW261)/AW261),0)</f>
        <v>0</v>
      </c>
      <c r="BW261" s="96">
        <f ca="1">ABS(1+(AW261*(1/(1+AN261/100/AP261*AG261)^2-1)))*BJ261*$AG261</f>
        <v>1.3763615367809984E-2</v>
      </c>
      <c r="BX261" s="96">
        <f ca="1">ABS(-AG261+1/(1/AG261+AN261/100/AP261))*BV261*AW261</f>
        <v>0</v>
      </c>
      <c r="BY261" s="96">
        <f ca="1">ABS(-AW261*AP261/((AP261/AG261+AN261/100)^2))*(BO261*AN261/100)</f>
        <v>1.5729846134639992E-2</v>
      </c>
      <c r="BZ261" s="202">
        <f ca="1">ABS(AW261*AN261/100/(1/AG261*AP261+AN261/100)^2)*(BR261*AP261)</f>
        <v>1.8875815361567995E-2</v>
      </c>
      <c r="CA261" s="103">
        <f t="shared" ca="1" si="198"/>
        <v>2.8163124346855944E-2</v>
      </c>
      <c r="CB261" s="37">
        <f t="shared" ref="CB261:CB276" ca="1" si="254">BW261/$BB261</f>
        <v>5.8659217877094917E-2</v>
      </c>
      <c r="CC261" s="37">
        <f t="shared" ref="CC261:CC276" ca="1" si="255">BX261/$BB261</f>
        <v>0</v>
      </c>
      <c r="CD261" s="37">
        <f t="shared" ref="CD261:CD276" ca="1" si="256">BY261/$BB261</f>
        <v>6.7039106145251381E-2</v>
      </c>
      <c r="CE261" s="37">
        <f t="shared" ref="CE261:CE276" ca="1" si="257">BZ261/$BB261</f>
        <v>8.0446927374301674E-2</v>
      </c>
      <c r="CF261" s="13">
        <f t="shared" ref="CF261:CF276" ca="1" si="258">SQRT(SUMPRODUCT(CB261:CE261,CB261:CE261))</f>
        <v>0.12002855376398126</v>
      </c>
      <c r="CG261" s="101">
        <f ca="1">AG261</f>
        <v>1.2</v>
      </c>
      <c r="CH261" s="101">
        <f>AW261</f>
        <v>1</v>
      </c>
      <c r="CI261" s="203">
        <f>IF(CH261&gt;0,AN261,0)</f>
        <v>12</v>
      </c>
      <c r="CJ261" s="102">
        <f>IF(AND(CH261&gt;0,CI261&gt;0),AP261,0)</f>
        <v>3.5000000000000003E-2</v>
      </c>
      <c r="CK261" s="102">
        <f ca="1">BB261</f>
        <v>0.23463687150837995</v>
      </c>
      <c r="CL261" s="37">
        <f t="shared" ca="1" si="230"/>
        <v>0.3</v>
      </c>
      <c r="CM261" s="37">
        <f t="shared" ca="1" si="231"/>
        <v>0</v>
      </c>
      <c r="CN261" s="37">
        <f t="shared" ca="1" si="232"/>
        <v>8.3333333333333329E-2</v>
      </c>
      <c r="CO261" s="37">
        <f t="shared" ca="1" si="233"/>
        <v>0.1</v>
      </c>
      <c r="CP261" s="37">
        <f t="shared" ca="1" si="234"/>
        <v>0.12002855376398126</v>
      </c>
      <c r="CQ261" s="95">
        <f t="shared" ca="1" si="235"/>
        <v>0.36</v>
      </c>
      <c r="CR261" s="95">
        <f t="shared" ca="1" si="236"/>
        <v>0</v>
      </c>
      <c r="CS261" s="95">
        <f t="shared" ca="1" si="237"/>
        <v>1</v>
      </c>
      <c r="CT261" s="103">
        <f t="shared" ca="1" si="238"/>
        <v>3.5000000000000005E-3</v>
      </c>
      <c r="CU261" s="95">
        <f t="shared" ca="1" si="239"/>
        <v>2.8163124346855944E-2</v>
      </c>
      <c r="CV261" s="37">
        <f ca="1">$CB261^2/$CF261^2</f>
        <v>0.23883798011308219</v>
      </c>
      <c r="CW261" s="37">
        <f ca="1">$CD261^2/$CF261^2</f>
        <v>0.31195164749463838</v>
      </c>
      <c r="CX261" s="37">
        <f ca="1">$CE261^2/$CF261^2</f>
        <v>0.44921037239227946</v>
      </c>
      <c r="CY261" s="37">
        <f ca="1">$CC261^2/$CF261^2</f>
        <v>0</v>
      </c>
      <c r="DA261" s="98" t="s">
        <v>214</v>
      </c>
      <c r="DB261" s="36">
        <f ca="1">OFFSET($A$1,ROW(DB261)-1,MATCH(DA261,$1:$1,0)-1)</f>
        <v>12</v>
      </c>
      <c r="DC261" s="9">
        <f ca="1">BB261</f>
        <v>0.23463687150837995</v>
      </c>
      <c r="DD261" s="9">
        <f ca="1">$DC261+$CA261</f>
        <v>0.26279999585523589</v>
      </c>
      <c r="DE261" s="9">
        <f ca="1">$DC261-$CA261</f>
        <v>0.206473747161524</v>
      </c>
      <c r="DF261" s="10">
        <f t="shared" ca="1" si="245"/>
        <v>0.12002855376398126</v>
      </c>
    </row>
    <row r="262" spans="1:110" s="8" customFormat="1" ht="32.4" customHeight="1">
      <c r="A262" s="206" t="s">
        <v>698</v>
      </c>
      <c r="B262" s="208" t="s">
        <v>2348</v>
      </c>
      <c r="C262" s="206" t="str">
        <f>E262&amp;" = "&amp;F262</f>
        <v>Parameter-Variation: Code_DataSources = DesignDataPlusQA</v>
      </c>
      <c r="D262" s="206"/>
      <c r="E262" s="206" t="s">
        <v>202</v>
      </c>
      <c r="F262" s="206" t="str">
        <f>L262</f>
        <v>DesignDataPlusQA</v>
      </c>
      <c r="G262" s="206" t="s">
        <v>2170</v>
      </c>
      <c r="H262" s="206" t="s">
        <v>2171</v>
      </c>
      <c r="I262" s="156" t="s">
        <v>80</v>
      </c>
      <c r="J262" s="156" t="s">
        <v>134</v>
      </c>
      <c r="K262" s="156" t="s">
        <v>155</v>
      </c>
      <c r="L262" s="156" t="s">
        <v>68</v>
      </c>
      <c r="M262" s="156" t="s">
        <v>188</v>
      </c>
      <c r="N262" s="7">
        <v>1960</v>
      </c>
      <c r="O262" s="156">
        <v>1</v>
      </c>
      <c r="P262" s="156">
        <v>0</v>
      </c>
      <c r="Q262" s="156" t="s">
        <v>435</v>
      </c>
      <c r="R262" s="156" t="s">
        <v>58</v>
      </c>
      <c r="S262" s="19">
        <v>24</v>
      </c>
      <c r="T262" s="19">
        <v>1</v>
      </c>
      <c r="U262" s="19">
        <v>2016</v>
      </c>
      <c r="V262" s="19">
        <v>3.5000000000000003E-2</v>
      </c>
      <c r="W262" s="28" t="s">
        <v>59</v>
      </c>
      <c r="X262" s="19" t="e">
        <v>#N/A</v>
      </c>
      <c r="Y262" s="105">
        <f ca="1">IFERROR(OFFSET(Tab.Const.ConstrBorder!$A$1,MATCH(Q262,Tab.Const.ConstrBorder!$A:$A,0)-1,MATCH(Y$87,Tab.Const.ConstrBorder!$1:$1,0)-1),0)</f>
        <v>0</v>
      </c>
      <c r="Z262" s="18">
        <f t="shared" si="188"/>
        <v>1960</v>
      </c>
      <c r="AA262" s="17">
        <f>MATCH(Z262,Tab.Year.Period!$11:$11,1)-3</f>
        <v>5</v>
      </c>
      <c r="AB262" s="17">
        <f>MATCH(AB$88&amp;"."&amp;TEXT(AA262,"00"),Tab.U.Default!$A:$A,0)</f>
        <v>28</v>
      </c>
      <c r="AC262" s="105">
        <f ca="1">OFFSET(Tab.U.Default!$A$1,$AB262-1,MATCH("U_Class_"&amp;IF($J262="TopCeiling","UpperCeiling",$J262)&amp;"_"&amp;AC$87,Tab.U.Default!$1:$1,0)-1)</f>
        <v>1.2</v>
      </c>
      <c r="AD262" s="105">
        <f ca="1">OFFSET(Tab.U.Default!$A$1,$AB262-1,MATCH("U_Class_"&amp;IF($J262="TopCeiling","UpperCeiling",$J262)&amp;"_"&amp;AD$87,Tab.U.Default!$1:$1,0)-1)</f>
        <v>1.2</v>
      </c>
      <c r="AE262" s="105">
        <f ca="1">OFFSET(Tab.U.Default!$A$1,$AB262-1,MATCH("U_Class_"&amp;IF($J262="TopCeiling","UpperCeiling",$J262)&amp;"_"&amp;AE$87,Tab.U.Default!$1:$1,0)-1)</f>
        <v>0.8</v>
      </c>
      <c r="AF262" s="26">
        <f t="shared" ca="1" si="189"/>
        <v>1.2</v>
      </c>
      <c r="AG262" s="26">
        <f t="shared" ca="1" si="229"/>
        <v>1.2</v>
      </c>
      <c r="AH262" s="18" t="str">
        <f t="shared" si="246"/>
        <v>Refurbish</v>
      </c>
      <c r="AI262" s="18" t="str">
        <f t="shared" si="191"/>
        <v>Add</v>
      </c>
      <c r="AJ262" s="18">
        <f t="shared" si="192"/>
        <v>2016</v>
      </c>
      <c r="AK262" s="17">
        <f>MATCH(AJ262,Tab.Year.Period!$11:$11,1)-3</f>
        <v>12</v>
      </c>
      <c r="AL262" s="17">
        <f>MATCH(AL$88&amp;"."&amp;TEXT(AK262,"00"),Tab.Insulation.Default!$A:$A,0)</f>
        <v>23</v>
      </c>
      <c r="AM262" s="20" t="e">
        <f ca="1">IF(ISNA(IF(S262="",#N/A,S262)),OFFSET(Tab.Insulation.Default!$A$1,$AL262-1,MATCH(AM$87&amp;"_"&amp;$K262,Tab.Insulation.Default!$1:$1,0)-1),#N/A)</f>
        <v>#N/A</v>
      </c>
      <c r="AN262" s="27">
        <f t="shared" si="193"/>
        <v>24</v>
      </c>
      <c r="AO262" s="22" t="e">
        <f ca="1">IF(ISNA(IF(V262="",#N/A,V262)),OFFSET(Tab.Insulation.Default!$A$1,$AL262-1,MATCH(AO$87&amp;"_"&amp;$K262,Tab.Insulation.Default!$1:$1,0)-1),#N/A)</f>
        <v>#N/A</v>
      </c>
      <c r="AP262" s="23">
        <f t="shared" si="194"/>
        <v>3.5000000000000003E-2</v>
      </c>
      <c r="AQ262" s="29" t="str">
        <f t="shared" si="247"/>
        <v>Gen.Refurbished.12</v>
      </c>
      <c r="AR262" s="17">
        <f>MATCH(AR$88&amp;"."&amp;AQ262,Tab.Measure.f.Default!$A:$A,0)</f>
        <v>23</v>
      </c>
      <c r="AS262" s="21">
        <f ca="1">OFFSET(Tab.Measure.f.Default!$A$1,AR262-1,MATCH(AS$87&amp;"_"&amp;$J262,Tab.Measure.f.Default!$1:$1,0)-1)</f>
        <v>0.75</v>
      </c>
      <c r="AT262" s="29" t="str">
        <f t="shared" si="248"/>
        <v>MUH.NA.05</v>
      </c>
      <c r="AU262" s="17">
        <f>MATCH(AU$88&amp;"."&amp;AT262,Tab.Measure.f.Default!$A:$A,0)</f>
        <v>40</v>
      </c>
      <c r="AV262" s="21">
        <f ca="1">OFFSET(Tab.Measure.f.Default!$A$1,AU262-1,MATCH(AV$87&amp;"_"&amp;$J262,Tab.Measure.f.Default!$1:$1,0)-1)</f>
        <v>0.37</v>
      </c>
      <c r="AW262" s="30">
        <f t="shared" si="195"/>
        <v>1</v>
      </c>
      <c r="AX262" s="9">
        <f t="shared" ca="1" si="249"/>
        <v>0.83333333333333337</v>
      </c>
      <c r="AY262" s="9">
        <f t="shared" si="250"/>
        <v>6.8571428571428559</v>
      </c>
      <c r="AZ262" s="9">
        <f ca="1">AX262+AY262</f>
        <v>7.6904761904761889</v>
      </c>
      <c r="BA262" s="9">
        <f ca="1">1/AZ262</f>
        <v>0.13003095975232201</v>
      </c>
      <c r="BB262" s="9">
        <f t="shared" ca="1" si="251"/>
        <v>0.13003095975232201</v>
      </c>
      <c r="BC262" s="32" t="str">
        <f t="shared" si="252"/>
        <v>D</v>
      </c>
      <c r="BD262" s="20" t="str">
        <f ca="1">OFFSET(Tab.Uncertainty.Levels!$A$1,MATCH(BD$88,Tab.Uncertainty.Levels!$A:$A,0)-1,MATCH(BD$87&amp;"_"&amp;BC262,Tab.Uncertainty.Levels!$1:$1,0)-1)</f>
        <v>Use of default values; building constructed until 1983</v>
      </c>
      <c r="BE262" s="24">
        <f ca="1">OFFSET(Tab.Uncertainty.Levels!$A$1,MATCH(BE$88,Tab.Uncertainty.Levels!$A:$A,0)-1,MATCH(BE$87&amp;"_"&amp;BC262,Tab.Uncertainty.Levels!$1:$1,0)-1)</f>
        <v>0.3</v>
      </c>
      <c r="BF262" s="32" t="str">
        <f t="shared" si="253"/>
        <v>-</v>
      </c>
      <c r="BG262" s="20" t="e">
        <f ca="1">OFFSET(Tab.Uncertainty.Levels!$A$1,MATCH(BG$88,Tab.Uncertainty.Levels!$A:$A,0)-1,MATCH(BG$87&amp;"_"&amp;BF262,Tab.Uncertainty.Levels!$1:$1,0)-1)</f>
        <v>#N/A</v>
      </c>
      <c r="BH262" s="24" t="e">
        <f ca="1">OFFSET(Tab.Uncertainty.Levels!$A$1,MATCH(BH$88,Tab.Uncertainty.Levels!$A:$A,0)-1,MATCH(BH$87&amp;"_"&amp;BF262,Tab.Uncertainty.Levels!$1:$1,0)-1)</f>
        <v>#N/A</v>
      </c>
      <c r="BI262" s="32" t="str">
        <f t="shared" si="224"/>
        <v>D</v>
      </c>
      <c r="BJ262" s="13">
        <f ca="1">IF(BF262="-",BE262,BH262)</f>
        <v>0.3</v>
      </c>
      <c r="BK262" s="32" t="str">
        <f>IF(OR($L262="NoDataSource",IFERROR(IF($S262="",#N/A,$S262),0)=0),IF(IFERROR(IF(U262="",#N/A,U262),0)=0,"E","D"),IF($L262="DesignDataPlusQA","A",IF($L262="DesignData","B","C")))</f>
        <v>A</v>
      </c>
      <c r="BL262" s="20" t="str">
        <f ca="1">OFFSET(Tab.Uncertainty.Levels!$A$1,MATCH(BL$88,Tab.Uncertainty.Levels!$A:$A,0)-1,MATCH(BL$87&amp;"_"&amp;BK262,Tab.Uncertainty.Levels!$1:$1,0)-1)</f>
        <v>Insulation thickness from design data, quality assured</v>
      </c>
      <c r="BM262" s="24">
        <f ca="1">OFFSET(Tab.Uncertainty.Levels!$A$1,MATCH(BM$88,Tab.Uncertainty.Levels!$A:$A,0)-1,MATCH(BM$87&amp;"_"&amp;BK262,Tab.Uncertainty.Levels!$1:$1,0)-1)</f>
        <v>0.05</v>
      </c>
      <c r="BN262" s="34">
        <f ca="1">OFFSET(Tab.Uncertainty.Levels!$A$1,MATCH(BN$88,Tab.Uncertainty.Levels!$A:$A,0)-1,MATCH(BN$87&amp;"_"&amp;BK262,Tab.Uncertainty.Levels!$1:$1,0)-1)</f>
        <v>0.5</v>
      </c>
      <c r="BO262" s="13">
        <f ca="1">IFERROR(MIN(BM262,BN262/AN262),0)</f>
        <v>2.0833333333333332E-2</v>
      </c>
      <c r="BP262" s="32" t="str">
        <f>IF(OR($L262="NoDataSource",IFERROR(IF($V262="",#N/A,$V262),0)=0),IF(IFERROR(IF(U262="",#N/A,U262),0)=0,"E","D"),IF($L262="DesignDataPlusQA","A",IF($L262="DesignData","B","C")))</f>
        <v>A</v>
      </c>
      <c r="BQ262" s="20" t="str">
        <f ca="1">OFFSET(Tab.Uncertainty.Levels!$A$1,MATCH(BQ$88,Tab.Uncertainty.Levels!$A:$A,0)-1,MATCH(BQ$87&amp;"_"&amp;BP262,Tab.Uncertainty.Levels!$1:$1,0)-1)</f>
        <v>Thermal conductivity of insulation from design data, quality assured</v>
      </c>
      <c r="BR262" s="97">
        <f ca="1">OFFSET(Tab.Uncertainty.Levels!$A$1,MATCH(BR$88,Tab.Uncertainty.Levels!$A:$A,0)-1,MATCH(BR$87&amp;"_"&amp;BP262,Tab.Uncertainty.Levels!$1:$1,0)-1)</f>
        <v>0.05</v>
      </c>
      <c r="BS262" s="32" t="str">
        <f>IF(L262="NoDataSource","D",IF(IFERROR(IF($T262="",#N/A,$T262),0)=0,IF(OR(IFERROR(IF($S262="",#N/A,$S262),0)&gt;0,$R262="Refurbish"),"D","E"),IF($L262="DesignDataPlusQA","A",IF($L262="DesignData","B","C"))))</f>
        <v>A</v>
      </c>
      <c r="BT262" s="20" t="str">
        <f ca="1">OFFSET(Tab.Uncertainty.Levels!$A$1,MATCH(BT$88,Tab.Uncertainty.Levels!$A:$A,0)-1,MATCH(BT$87&amp;"_"&amp;BS262,Tab.Uncertainty.Levels!$1:$1,0)-1)</f>
        <v>Insulation fraction from design data, quality assured</v>
      </c>
      <c r="BU262" s="33">
        <f ca="1">OFFSET(Tab.Uncertainty.Levels!$A$1,MATCH(BU$88,Tab.Uncertainty.Levels!$A:$A,0)-1,MATCH(BU$87&amp;"_"&amp;BS262,Tab.Uncertainty.Levels!$1:$1,0)-1)</f>
        <v>0.05</v>
      </c>
      <c r="BV262" s="13">
        <f ca="1">IFERROR(MIN(BU262/AW262,1,(1-AW262)/AW262),0)</f>
        <v>0</v>
      </c>
      <c r="BW262" s="96">
        <f ca="1">ABS(1+(AW262*(1/(1+AN262/100/AP262*AG262)^2-1)))*BJ262*$AG262</f>
        <v>4.2270126235274975E-3</v>
      </c>
      <c r="BX262" s="96">
        <f ca="1">ABS(-AG262+1/(1/AG262+AN262/100/AP262))*BV262*AW262</f>
        <v>0</v>
      </c>
      <c r="BY262" s="96">
        <f ca="1">ABS(-AW262*AP262/((AP262/AG262+AN262/100)^2))*(BO262*AN262/100)</f>
        <v>2.4154357848728543E-3</v>
      </c>
      <c r="BZ262" s="202">
        <f ca="1">ABS(AW262*AN262/100/(1/AG262*AP262+AN262/100)^2)*(BR262*AP262)</f>
        <v>5.7970458836948497E-3</v>
      </c>
      <c r="CA262" s="103">
        <f t="shared" ca="1" si="198"/>
        <v>7.5701853826685489E-3</v>
      </c>
      <c r="CB262" s="37">
        <f t="shared" ca="1" si="254"/>
        <v>3.250773993808051E-2</v>
      </c>
      <c r="CC262" s="37">
        <f t="shared" ca="1" si="255"/>
        <v>0</v>
      </c>
      <c r="CD262" s="37">
        <f t="shared" ca="1" si="256"/>
        <v>1.857585139318885E-2</v>
      </c>
      <c r="CE262" s="37">
        <f t="shared" ca="1" si="257"/>
        <v>4.458204334365324E-2</v>
      </c>
      <c r="CF262" s="13">
        <f t="shared" ca="1" si="258"/>
        <v>5.8218330442903352E-2</v>
      </c>
      <c r="CG262" s="101">
        <f ca="1">AG262</f>
        <v>1.2</v>
      </c>
      <c r="CH262" s="101">
        <f>AW262</f>
        <v>1</v>
      </c>
      <c r="CI262" s="203">
        <f>IF(CH262&gt;0,AN262,0)</f>
        <v>24</v>
      </c>
      <c r="CJ262" s="102">
        <f>IF(AND(CH262&gt;0,CI262&gt;0),AP262,0)</f>
        <v>3.5000000000000003E-2</v>
      </c>
      <c r="CK262" s="102">
        <f ca="1">BB262</f>
        <v>0.13003095975232201</v>
      </c>
      <c r="CL262" s="37">
        <f t="shared" ca="1" si="230"/>
        <v>0.3</v>
      </c>
      <c r="CM262" s="37">
        <f t="shared" ca="1" si="231"/>
        <v>0</v>
      </c>
      <c r="CN262" s="37">
        <f t="shared" ca="1" si="232"/>
        <v>2.0833333333333332E-2</v>
      </c>
      <c r="CO262" s="37">
        <f t="shared" ca="1" si="233"/>
        <v>0.05</v>
      </c>
      <c r="CP262" s="37">
        <f t="shared" ca="1" si="234"/>
        <v>5.8218330442903352E-2</v>
      </c>
      <c r="CQ262" s="95">
        <f t="shared" ca="1" si="235"/>
        <v>0.36</v>
      </c>
      <c r="CR262" s="95">
        <f t="shared" ca="1" si="236"/>
        <v>0</v>
      </c>
      <c r="CS262" s="95">
        <f t="shared" ca="1" si="237"/>
        <v>0.5</v>
      </c>
      <c r="CT262" s="103">
        <f t="shared" ca="1" si="238"/>
        <v>1.7500000000000003E-3</v>
      </c>
      <c r="CU262" s="95">
        <f t="shared" ca="1" si="239"/>
        <v>7.5701853826685489E-3</v>
      </c>
      <c r="CV262" s="37">
        <f ca="1">$CB262^2/$CF262^2</f>
        <v>0.31178416899974576</v>
      </c>
      <c r="CW262" s="37">
        <f ca="1">$CD262^2/$CF262^2</f>
        <v>0.10180707559175357</v>
      </c>
      <c r="CX262" s="37">
        <f ca="1">$CE262^2/$CF262^2</f>
        <v>0.58640875540850057</v>
      </c>
      <c r="CY262" s="37">
        <f ca="1">$CC262^2/$CF262^2</f>
        <v>0</v>
      </c>
      <c r="DA262" s="98" t="s">
        <v>214</v>
      </c>
      <c r="DB262" s="36">
        <f ca="1">OFFSET($A$1,ROW(DB262)-1,MATCH(DA262,$1:$1,0)-1)</f>
        <v>24</v>
      </c>
      <c r="DC262" s="9">
        <f ca="1">BB262</f>
        <v>0.13003095975232201</v>
      </c>
      <c r="DD262" s="9">
        <f ca="1">$DC262+$CA262</f>
        <v>0.13760114513499055</v>
      </c>
      <c r="DE262" s="9">
        <f ca="1">$DC262-$CA262</f>
        <v>0.12246077436965347</v>
      </c>
      <c r="DF262" s="10">
        <f t="shared" ca="1" si="245"/>
        <v>5.8218330442903303E-2</v>
      </c>
    </row>
    <row r="263" spans="1:110" s="8" customFormat="1" ht="32.4" customHeight="1">
      <c r="A263" s="206" t="s">
        <v>699</v>
      </c>
      <c r="B263" s="208" t="s">
        <v>2348</v>
      </c>
      <c r="C263" s="206" t="str">
        <f>E263&amp;" = "&amp;F263</f>
        <v>Parameter-Variation: Code_DataSources = DesignData</v>
      </c>
      <c r="D263" s="206"/>
      <c r="E263" s="206" t="s">
        <v>202</v>
      </c>
      <c r="F263" s="206" t="str">
        <f>L263</f>
        <v>DesignData</v>
      </c>
      <c r="G263" s="206" t="s">
        <v>2170</v>
      </c>
      <c r="H263" s="206" t="s">
        <v>2171</v>
      </c>
      <c r="I263" s="156" t="s">
        <v>80</v>
      </c>
      <c r="J263" s="156" t="s">
        <v>134</v>
      </c>
      <c r="K263" s="156" t="s">
        <v>155</v>
      </c>
      <c r="L263" s="156" t="s">
        <v>67</v>
      </c>
      <c r="M263" s="156" t="s">
        <v>188</v>
      </c>
      <c r="N263" s="7">
        <v>1960</v>
      </c>
      <c r="O263" s="156">
        <v>1</v>
      </c>
      <c r="P263" s="156">
        <v>0</v>
      </c>
      <c r="Q263" s="156" t="s">
        <v>435</v>
      </c>
      <c r="R263" s="156" t="s">
        <v>58</v>
      </c>
      <c r="S263" s="19">
        <v>24</v>
      </c>
      <c r="T263" s="19">
        <v>1</v>
      </c>
      <c r="U263" s="19">
        <v>2016</v>
      </c>
      <c r="V263" s="19">
        <v>3.5000000000000003E-2</v>
      </c>
      <c r="W263" s="28" t="s">
        <v>59</v>
      </c>
      <c r="X263" s="19" t="e">
        <v>#N/A</v>
      </c>
      <c r="Y263" s="105">
        <f ca="1">IFERROR(OFFSET(Tab.Const.ConstrBorder!$A$1,MATCH(Q263,Tab.Const.ConstrBorder!$A:$A,0)-1,MATCH(Y$87,Tab.Const.ConstrBorder!$1:$1,0)-1),0)</f>
        <v>0</v>
      </c>
      <c r="Z263" s="18">
        <f t="shared" si="188"/>
        <v>1960</v>
      </c>
      <c r="AA263" s="17">
        <f>MATCH(Z263,Tab.Year.Period!$11:$11,1)-3</f>
        <v>5</v>
      </c>
      <c r="AB263" s="17">
        <f>MATCH(AB$88&amp;"."&amp;TEXT(AA263,"00"),Tab.U.Default!$A:$A,0)</f>
        <v>28</v>
      </c>
      <c r="AC263" s="105">
        <f ca="1">OFFSET(Tab.U.Default!$A$1,$AB263-1,MATCH("U_Class_"&amp;IF($J263="TopCeiling","UpperCeiling",$J263)&amp;"_"&amp;AC$87,Tab.U.Default!$1:$1,0)-1)</f>
        <v>1.2</v>
      </c>
      <c r="AD263" s="105">
        <f ca="1">OFFSET(Tab.U.Default!$A$1,$AB263-1,MATCH("U_Class_"&amp;IF($J263="TopCeiling","UpperCeiling",$J263)&amp;"_"&amp;AD$87,Tab.U.Default!$1:$1,0)-1)</f>
        <v>1.2</v>
      </c>
      <c r="AE263" s="105">
        <f ca="1">OFFSET(Tab.U.Default!$A$1,$AB263-1,MATCH("U_Class_"&amp;IF($J263="TopCeiling","UpperCeiling",$J263)&amp;"_"&amp;AE$87,Tab.U.Default!$1:$1,0)-1)</f>
        <v>0.8</v>
      </c>
      <c r="AF263" s="26">
        <f t="shared" ca="1" si="189"/>
        <v>1.2</v>
      </c>
      <c r="AG263" s="26">
        <f t="shared" ca="1" si="229"/>
        <v>1.2</v>
      </c>
      <c r="AH263" s="18" t="str">
        <f t="shared" si="246"/>
        <v>Refurbish</v>
      </c>
      <c r="AI263" s="18" t="str">
        <f t="shared" si="191"/>
        <v>Add</v>
      </c>
      <c r="AJ263" s="18">
        <f t="shared" si="192"/>
        <v>2016</v>
      </c>
      <c r="AK263" s="17">
        <f>MATCH(AJ263,Tab.Year.Period!$11:$11,1)-3</f>
        <v>12</v>
      </c>
      <c r="AL263" s="17">
        <f>MATCH(AL$88&amp;"."&amp;TEXT(AK263,"00"),Tab.Insulation.Default!$A:$A,0)</f>
        <v>23</v>
      </c>
      <c r="AM263" s="20" t="e">
        <f ca="1">IF(ISNA(IF(S263="",#N/A,S263)),OFFSET(Tab.Insulation.Default!$A$1,$AL263-1,MATCH(AM$87&amp;"_"&amp;$K263,Tab.Insulation.Default!$1:$1,0)-1),#N/A)</f>
        <v>#N/A</v>
      </c>
      <c r="AN263" s="27">
        <f t="shared" si="193"/>
        <v>24</v>
      </c>
      <c r="AO263" s="22" t="e">
        <f ca="1">IF(ISNA(IF(V263="",#N/A,V263)),OFFSET(Tab.Insulation.Default!$A$1,$AL263-1,MATCH(AO$87&amp;"_"&amp;$K263,Tab.Insulation.Default!$1:$1,0)-1),#N/A)</f>
        <v>#N/A</v>
      </c>
      <c r="AP263" s="23">
        <f t="shared" si="194"/>
        <v>3.5000000000000003E-2</v>
      </c>
      <c r="AQ263" s="29" t="str">
        <f t="shared" si="247"/>
        <v>Gen.Refurbished.12</v>
      </c>
      <c r="AR263" s="17">
        <f>MATCH(AR$88&amp;"."&amp;AQ263,Tab.Measure.f.Default!$A:$A,0)</f>
        <v>23</v>
      </c>
      <c r="AS263" s="21">
        <f ca="1">OFFSET(Tab.Measure.f.Default!$A$1,AR263-1,MATCH(AS$87&amp;"_"&amp;$J263,Tab.Measure.f.Default!$1:$1,0)-1)</f>
        <v>0.75</v>
      </c>
      <c r="AT263" s="29" t="str">
        <f t="shared" si="248"/>
        <v>MUH.NA.05</v>
      </c>
      <c r="AU263" s="17">
        <f>MATCH(AU$88&amp;"."&amp;AT263,Tab.Measure.f.Default!$A:$A,0)</f>
        <v>40</v>
      </c>
      <c r="AV263" s="21">
        <f ca="1">OFFSET(Tab.Measure.f.Default!$A$1,AU263-1,MATCH(AV$87&amp;"_"&amp;$J263,Tab.Measure.f.Default!$1:$1,0)-1)</f>
        <v>0.37</v>
      </c>
      <c r="AW263" s="30">
        <f t="shared" si="195"/>
        <v>1</v>
      </c>
      <c r="AX263" s="9">
        <f t="shared" ca="1" si="249"/>
        <v>0.83333333333333337</v>
      </c>
      <c r="AY263" s="9">
        <f t="shared" si="250"/>
        <v>6.8571428571428559</v>
      </c>
      <c r="AZ263" s="9">
        <f ca="1">AX263+AY263</f>
        <v>7.6904761904761889</v>
      </c>
      <c r="BA263" s="9">
        <f ca="1">1/AZ263</f>
        <v>0.13003095975232201</v>
      </c>
      <c r="BB263" s="9">
        <f t="shared" ca="1" si="251"/>
        <v>0.13003095975232201</v>
      </c>
      <c r="BC263" s="32" t="str">
        <f t="shared" si="252"/>
        <v>D</v>
      </c>
      <c r="BD263" s="20" t="str">
        <f ca="1">OFFSET(Tab.Uncertainty.Levels!$A$1,MATCH(BD$88,Tab.Uncertainty.Levels!$A:$A,0)-1,MATCH(BD$87&amp;"_"&amp;BC263,Tab.Uncertainty.Levels!$1:$1,0)-1)</f>
        <v>Use of default values; building constructed until 1983</v>
      </c>
      <c r="BE263" s="24">
        <f ca="1">OFFSET(Tab.Uncertainty.Levels!$A$1,MATCH(BE$88,Tab.Uncertainty.Levels!$A:$A,0)-1,MATCH(BE$87&amp;"_"&amp;BC263,Tab.Uncertainty.Levels!$1:$1,0)-1)</f>
        <v>0.3</v>
      </c>
      <c r="BF263" s="32" t="str">
        <f t="shared" si="253"/>
        <v>-</v>
      </c>
      <c r="BG263" s="20" t="e">
        <f ca="1">OFFSET(Tab.Uncertainty.Levels!$A$1,MATCH(BG$88,Tab.Uncertainty.Levels!$A:$A,0)-1,MATCH(BG$87&amp;"_"&amp;BF263,Tab.Uncertainty.Levels!$1:$1,0)-1)</f>
        <v>#N/A</v>
      </c>
      <c r="BH263" s="24" t="e">
        <f ca="1">OFFSET(Tab.Uncertainty.Levels!$A$1,MATCH(BH$88,Tab.Uncertainty.Levels!$A:$A,0)-1,MATCH(BH$87&amp;"_"&amp;BF263,Tab.Uncertainty.Levels!$1:$1,0)-1)</f>
        <v>#N/A</v>
      </c>
      <c r="BI263" s="32" t="str">
        <f t="shared" si="224"/>
        <v>D</v>
      </c>
      <c r="BJ263" s="13">
        <f ca="1">IF(BF263="-",BE263,BH263)</f>
        <v>0.3</v>
      </c>
      <c r="BK263" s="32" t="str">
        <f>IF(OR($L263="NoDataSource",IFERROR(IF($S263="",#N/A,$S263),0)=0),IF(IFERROR(IF(U263="",#N/A,U263),0)=0,"E","D"),IF($L263="DesignDataPlusQA","A",IF($L263="DesignData","B","C")))</f>
        <v>B</v>
      </c>
      <c r="BL263" s="20" t="str">
        <f ca="1">OFFSET(Tab.Uncertainty.Levels!$A$1,MATCH(BL$88,Tab.Uncertainty.Levels!$A:$A,0)-1,MATCH(BL$87&amp;"_"&amp;BK263,Tab.Uncertainty.Levels!$1:$1,0)-1)</f>
        <v>Insulation thickness from design data</v>
      </c>
      <c r="BM263" s="24">
        <f ca="1">OFFSET(Tab.Uncertainty.Levels!$A$1,MATCH(BM$88,Tab.Uncertainty.Levels!$A:$A,0)-1,MATCH(BM$87&amp;"_"&amp;BK263,Tab.Uncertainty.Levels!$1:$1,0)-1)</f>
        <v>0.1</v>
      </c>
      <c r="BN263" s="34">
        <f ca="1">OFFSET(Tab.Uncertainty.Levels!$A$1,MATCH(BN$88,Tab.Uncertainty.Levels!$A:$A,0)-1,MATCH(BN$87&amp;"_"&amp;BK263,Tab.Uncertainty.Levels!$1:$1,0)-1)</f>
        <v>1</v>
      </c>
      <c r="BO263" s="13">
        <f ca="1">IFERROR(MIN(BM263,BN263/AN263),0)</f>
        <v>4.1666666666666664E-2</v>
      </c>
      <c r="BP263" s="32" t="str">
        <f>IF(OR($L263="NoDataSource",IFERROR(IF($V263="",#N/A,$V263),0)=0),IF(IFERROR(IF(U263="",#N/A,U263),0)=0,"E","D"),IF($L263="DesignDataPlusQA","A",IF($L263="DesignData","B","C")))</f>
        <v>B</v>
      </c>
      <c r="BQ263" s="20" t="str">
        <f ca="1">OFFSET(Tab.Uncertainty.Levels!$A$1,MATCH(BQ$88,Tab.Uncertainty.Levels!$A:$A,0)-1,MATCH(BQ$87&amp;"_"&amp;BP263,Tab.Uncertainty.Levels!$1:$1,0)-1)</f>
        <v>Thermal conductivity of insulation from design data</v>
      </c>
      <c r="BR263" s="97">
        <f ca="1">OFFSET(Tab.Uncertainty.Levels!$A$1,MATCH(BR$88,Tab.Uncertainty.Levels!$A:$A,0)-1,MATCH(BR$87&amp;"_"&amp;BP263,Tab.Uncertainty.Levels!$1:$1,0)-1)</f>
        <v>0.1</v>
      </c>
      <c r="BS263" s="32" t="str">
        <f>IF(L263="NoDataSource","D",IF(IFERROR(IF($T263="",#N/A,$T263),0)=0,IF(OR(IFERROR(IF($S263="",#N/A,$S263),0)&gt;0,$R263="Refurbish"),"D","E"),IF($L263="DesignDataPlusQA","A",IF($L263="DesignData","B","C"))))</f>
        <v>B</v>
      </c>
      <c r="BT263" s="20" t="str">
        <f ca="1">OFFSET(Tab.Uncertainty.Levels!$A$1,MATCH(BT$88,Tab.Uncertainty.Levels!$A:$A,0)-1,MATCH(BT$87&amp;"_"&amp;BS263,Tab.Uncertainty.Levels!$1:$1,0)-1)</f>
        <v>Insulation fraction from design data</v>
      </c>
      <c r="BU263" s="33">
        <f ca="1">OFFSET(Tab.Uncertainty.Levels!$A$1,MATCH(BU$88,Tab.Uncertainty.Levels!$A:$A,0)-1,MATCH(BU$87&amp;"_"&amp;BS263,Tab.Uncertainty.Levels!$1:$1,0)-1)</f>
        <v>0.1</v>
      </c>
      <c r="BV263" s="13">
        <f ca="1">IFERROR(MIN(BU263/AW263,1,(1-AW263)/AW263),0)</f>
        <v>0</v>
      </c>
      <c r="BW263" s="96">
        <f ca="1">ABS(1+(AW263*(1/(1+AN263/100/AP263*AG263)^2-1)))*BJ263*$AG263</f>
        <v>4.2270126235274975E-3</v>
      </c>
      <c r="BX263" s="96">
        <f ca="1">ABS(-AG263+1/(1/AG263+AN263/100/AP263))*BV263*AW263</f>
        <v>0</v>
      </c>
      <c r="BY263" s="96">
        <f ca="1">ABS(-AW263*AP263/((AP263/AG263+AN263/100)^2))*(BO263*AN263/100)</f>
        <v>4.8308715697457085E-3</v>
      </c>
      <c r="BZ263" s="202">
        <f ca="1">ABS(AW263*AN263/100/(1/AG263*AP263+AN263/100)^2)*(BR263*AP263)</f>
        <v>1.1594091767389699E-2</v>
      </c>
      <c r="CA263" s="103">
        <f t="shared" ca="1" si="198"/>
        <v>1.3252468440011159E-2</v>
      </c>
      <c r="CB263" s="37">
        <f t="shared" ca="1" si="254"/>
        <v>3.250773993808051E-2</v>
      </c>
      <c r="CC263" s="37">
        <f t="shared" ca="1" si="255"/>
        <v>0</v>
      </c>
      <c r="CD263" s="37">
        <f t="shared" ca="1" si="256"/>
        <v>3.7151702786377701E-2</v>
      </c>
      <c r="CE263" s="37">
        <f t="shared" ca="1" si="257"/>
        <v>8.9164086687306479E-2</v>
      </c>
      <c r="CF263" s="13">
        <f t="shared" ca="1" si="258"/>
        <v>0.10191779300294294</v>
      </c>
      <c r="CG263" s="101">
        <f ca="1">AG263</f>
        <v>1.2</v>
      </c>
      <c r="CH263" s="101">
        <f>AW263</f>
        <v>1</v>
      </c>
      <c r="CI263" s="203">
        <f>IF(CH263&gt;0,AN263,0)</f>
        <v>24</v>
      </c>
      <c r="CJ263" s="102">
        <f>IF(AND(CH263&gt;0,CI263&gt;0),AP263,0)</f>
        <v>3.5000000000000003E-2</v>
      </c>
      <c r="CK263" s="102">
        <f ca="1">BB263</f>
        <v>0.13003095975232201</v>
      </c>
      <c r="CL263" s="37">
        <f t="shared" ca="1" si="230"/>
        <v>0.3</v>
      </c>
      <c r="CM263" s="37">
        <f t="shared" ca="1" si="231"/>
        <v>0</v>
      </c>
      <c r="CN263" s="37">
        <f t="shared" ca="1" si="232"/>
        <v>4.1666666666666664E-2</v>
      </c>
      <c r="CO263" s="37">
        <f t="shared" ca="1" si="233"/>
        <v>0.1</v>
      </c>
      <c r="CP263" s="37">
        <f t="shared" ca="1" si="234"/>
        <v>0.10191779300294294</v>
      </c>
      <c r="CQ263" s="95">
        <f t="shared" ca="1" si="235"/>
        <v>0.36</v>
      </c>
      <c r="CR263" s="95">
        <f t="shared" ca="1" si="236"/>
        <v>0</v>
      </c>
      <c r="CS263" s="95">
        <f t="shared" ca="1" si="237"/>
        <v>1</v>
      </c>
      <c r="CT263" s="103">
        <f t="shared" ca="1" si="238"/>
        <v>3.5000000000000005E-3</v>
      </c>
      <c r="CU263" s="95">
        <f t="shared" ca="1" si="239"/>
        <v>1.3252468440011159E-2</v>
      </c>
      <c r="CV263" s="37">
        <f ca="1">$CB263^2/$CF263^2</f>
        <v>0.10173573623453212</v>
      </c>
      <c r="CW263" s="37">
        <f ca="1">$CD263^2/$CF263^2</f>
        <v>0.13287932895938873</v>
      </c>
      <c r="CX263" s="37">
        <f ca="1">$CE263^2/$CF263^2</f>
        <v>0.76538493480607905</v>
      </c>
      <c r="CY263" s="37">
        <f ca="1">$CC263^2/$CF263^2</f>
        <v>0</v>
      </c>
      <c r="DA263" s="98" t="s">
        <v>214</v>
      </c>
      <c r="DB263" s="36">
        <f ca="1">OFFSET($A$1,ROW(DB263)-1,MATCH(DA263,$1:$1,0)-1)</f>
        <v>24</v>
      </c>
      <c r="DC263" s="9">
        <f ca="1">BB263</f>
        <v>0.13003095975232201</v>
      </c>
      <c r="DD263" s="9">
        <f ca="1">$DC263+$CA263</f>
        <v>0.14328342819233317</v>
      </c>
      <c r="DE263" s="9">
        <f ca="1">$DC263-$CA263</f>
        <v>0.11677849131231086</v>
      </c>
      <c r="DF263" s="10">
        <f t="shared" ca="1" si="245"/>
        <v>0.10191779300294292</v>
      </c>
    </row>
    <row r="264" spans="1:110" s="8" customFormat="1" ht="32.4" customHeight="1">
      <c r="A264" s="206" t="s">
        <v>700</v>
      </c>
      <c r="B264" s="209" t="s">
        <v>2349</v>
      </c>
      <c r="C264" s="206" t="str">
        <f t="shared" si="143"/>
        <v>Parameter-Variation: Code_DataSources = NoDataSource</v>
      </c>
      <c r="D264" s="206"/>
      <c r="E264" s="206" t="s">
        <v>202</v>
      </c>
      <c r="F264" s="206" t="str">
        <f t="shared" si="150"/>
        <v>NoDataSource</v>
      </c>
      <c r="G264" s="206" t="s">
        <v>2170</v>
      </c>
      <c r="H264" s="206" t="s">
        <v>2171</v>
      </c>
      <c r="I264" s="156" t="s">
        <v>80</v>
      </c>
      <c r="J264" s="156" t="s">
        <v>134</v>
      </c>
      <c r="K264" s="156" t="s">
        <v>155</v>
      </c>
      <c r="L264" s="156" t="s">
        <v>70</v>
      </c>
      <c r="M264" s="156" t="s">
        <v>188</v>
      </c>
      <c r="N264" s="7" t="e">
        <v>#N/A</v>
      </c>
      <c r="O264" s="156" t="e">
        <v>#N/A</v>
      </c>
      <c r="P264" s="156" t="e">
        <v>#N/A</v>
      </c>
      <c r="Q264" s="156" t="s">
        <v>435</v>
      </c>
      <c r="R264" s="156" t="s">
        <v>41</v>
      </c>
      <c r="S264" s="19" t="e">
        <v>#N/A</v>
      </c>
      <c r="T264" s="19" t="e">
        <v>#N/A</v>
      </c>
      <c r="U264" s="19" t="e">
        <v>#N/A</v>
      </c>
      <c r="V264" s="19" t="e">
        <v>#N/A</v>
      </c>
      <c r="W264" s="28" t="s">
        <v>41</v>
      </c>
      <c r="X264" s="19" t="e">
        <v>#N/A</v>
      </c>
      <c r="Y264" s="105">
        <f ca="1">IFERROR(OFFSET(Tab.Const.ConstrBorder!$A$1,MATCH(Q264,Tab.Const.ConstrBorder!$A:$A,0)-1,MATCH(Y$87,Tab.Const.ConstrBorder!$1:$1,0)-1),0)</f>
        <v>0</v>
      </c>
      <c r="Z264" s="18">
        <f t="shared" si="188"/>
        <v>1963</v>
      </c>
      <c r="AA264" s="17">
        <f>MATCH(Z264,Tab.Year.Period!$11:$11,1)-3</f>
        <v>5</v>
      </c>
      <c r="AB264" s="17">
        <f>MATCH(AB$88&amp;"."&amp;TEXT(AA264,"00"),Tab.U.Default!$A:$A,0)</f>
        <v>28</v>
      </c>
      <c r="AC264" s="105">
        <f ca="1">OFFSET(Tab.U.Default!$A$1,$AB264-1,MATCH("U_Class_"&amp;IF($J264="TopCeiling","UpperCeiling",$J264)&amp;"_"&amp;AC$87,Tab.U.Default!$1:$1,0)-1)</f>
        <v>1.2</v>
      </c>
      <c r="AD264" s="105">
        <f ca="1">OFFSET(Tab.U.Default!$A$1,$AB264-1,MATCH("U_Class_"&amp;IF($J264="TopCeiling","UpperCeiling",$J264)&amp;"_"&amp;AD$87,Tab.U.Default!$1:$1,0)-1)</f>
        <v>1.2</v>
      </c>
      <c r="AE264" s="105">
        <f ca="1">OFFSET(Tab.U.Default!$A$1,$AB264-1,MATCH("U_Class_"&amp;IF($J264="TopCeiling","UpperCeiling",$J264)&amp;"_"&amp;AE$87,Tab.U.Default!$1:$1,0)-1)</f>
        <v>0.8</v>
      </c>
      <c r="AF264" s="26">
        <f t="shared" ca="1" si="189"/>
        <v>1.2</v>
      </c>
      <c r="AG264" s="26">
        <f t="shared" ca="1" si="229"/>
        <v>1.2</v>
      </c>
      <c r="AH264" s="18" t="str">
        <f t="shared" si="246"/>
        <v>Refurbish</v>
      </c>
      <c r="AI264" s="18" t="str">
        <f t="shared" si="191"/>
        <v>Add</v>
      </c>
      <c r="AJ264" s="18">
        <f t="shared" si="192"/>
        <v>1995</v>
      </c>
      <c r="AK264" s="17">
        <f>MATCH(AJ264,Tab.Year.Period!$11:$11,1)-3</f>
        <v>9</v>
      </c>
      <c r="AL264" s="17">
        <f>MATCH(AL$88&amp;"."&amp;TEXT(AK264,"00"),Tab.Insulation.Default!$A:$A,0)</f>
        <v>20</v>
      </c>
      <c r="AM264" s="20">
        <f ca="1">IF(ISNA(IF(S264="",#N/A,S264)),OFFSET(Tab.Insulation.Default!$A$1,$AL264-1,MATCH(AM$87&amp;"_"&amp;$K264,Tab.Insulation.Default!$1:$1,0)-1),#N/A)</f>
        <v>8</v>
      </c>
      <c r="AN264" s="27">
        <f t="shared" ca="1" si="193"/>
        <v>8</v>
      </c>
      <c r="AO264" s="22">
        <f ca="1">IF(ISNA(IF(V264="",#N/A,V264)),OFFSET(Tab.Insulation.Default!$A$1,$AL264-1,MATCH(AO$87&amp;"_"&amp;$K264,Tab.Insulation.Default!$1:$1,0)-1),#N/A)</f>
        <v>0.04</v>
      </c>
      <c r="AP264" s="23">
        <f t="shared" ca="1" si="194"/>
        <v>0.04</v>
      </c>
      <c r="AQ264" s="29" t="str">
        <f t="shared" si="247"/>
        <v>Gen.Refurbished.09</v>
      </c>
      <c r="AR264" s="17">
        <f>MATCH(AR$88&amp;"."&amp;AQ264,Tab.Measure.f.Default!$A:$A,0)</f>
        <v>20</v>
      </c>
      <c r="AS264" s="21">
        <f ca="1">OFFSET(Tab.Measure.f.Default!$A$1,AR264-1,MATCH(AS$87&amp;"_"&amp;$J264,Tab.Measure.f.Default!$1:$1,0)-1)</f>
        <v>0.75</v>
      </c>
      <c r="AT264" s="29" t="str">
        <f t="shared" si="248"/>
        <v>MUH.NA.05</v>
      </c>
      <c r="AU264" s="17">
        <f>MATCH(AU$88&amp;"."&amp;AT264,Tab.Measure.f.Default!$A:$A,0)</f>
        <v>40</v>
      </c>
      <c r="AV264" s="21">
        <f ca="1">OFFSET(Tab.Measure.f.Default!$A$1,AU264-1,MATCH(AV$87&amp;"_"&amp;$J264,Tab.Measure.f.Default!$1:$1,0)-1)</f>
        <v>0.37</v>
      </c>
      <c r="AW264" s="30">
        <f t="shared" ca="1" si="195"/>
        <v>0.37</v>
      </c>
      <c r="AX264" s="9">
        <f t="shared" ca="1" si="249"/>
        <v>0.83333333333333337</v>
      </c>
      <c r="AY264" s="9">
        <f t="shared" ca="1" si="250"/>
        <v>2</v>
      </c>
      <c r="AZ264" s="9">
        <f t="shared" ca="1" si="144"/>
        <v>2.8333333333333335</v>
      </c>
      <c r="BA264" s="9">
        <f t="shared" ca="1" si="145"/>
        <v>0.3529411764705882</v>
      </c>
      <c r="BB264" s="9">
        <f t="shared" ca="1" si="251"/>
        <v>0.88658823529411768</v>
      </c>
      <c r="BC264" s="32" t="str">
        <f t="shared" si="252"/>
        <v>E</v>
      </c>
      <c r="BD264" s="20" t="str">
        <f ca="1">OFFSET(Tab.Uncertainty.Levels!$A$1,MATCH(BD$88,Tab.Uncertainty.Levels!$A:$A,0)-1,MATCH(BD$87&amp;"_"&amp;BC264,Tab.Uncertainty.Levels!$1:$1,0)-1)</f>
        <v>Construction year of the building unknown</v>
      </c>
      <c r="BE264" s="24">
        <f ca="1">OFFSET(Tab.Uncertainty.Levels!$A$1,MATCH(BE$88,Tab.Uncertainty.Levels!$A:$A,0)-1,MATCH(BE$87&amp;"_"&amp;BC264,Tab.Uncertainty.Levels!$1:$1,0)-1)</f>
        <v>0.5</v>
      </c>
      <c r="BF264" s="32" t="str">
        <f t="shared" si="253"/>
        <v>-</v>
      </c>
      <c r="BG264" s="20" t="e">
        <f ca="1">OFFSET(Tab.Uncertainty.Levels!$A$1,MATCH(BG$88,Tab.Uncertainty.Levels!$A:$A,0)-1,MATCH(BG$87&amp;"_"&amp;BF264,Tab.Uncertainty.Levels!$1:$1,0)-1)</f>
        <v>#N/A</v>
      </c>
      <c r="BH264" s="24" t="e">
        <f ca="1">OFFSET(Tab.Uncertainty.Levels!$A$1,MATCH(BH$88,Tab.Uncertainty.Levels!$A:$A,0)-1,MATCH(BH$87&amp;"_"&amp;BF264,Tab.Uncertainty.Levels!$1:$1,0)-1)</f>
        <v>#N/A</v>
      </c>
      <c r="BI264" s="32" t="str">
        <f t="shared" si="224"/>
        <v>E</v>
      </c>
      <c r="BJ264" s="13">
        <f ca="1">IF(BF264="-",BE264,BH264)</f>
        <v>0.5</v>
      </c>
      <c r="BK264" s="32" t="str">
        <f>IF(OR($L264="NoDataSource",IFERROR(IF($S264="",#N/A,$S264),0)=0),IF(IFERROR(IF(U264="",#N/A,U264),0)=0,"E","D"),IF($L264="DesignDataPlusQA","A",IF($L264="DesignData","B","C")))</f>
        <v>E</v>
      </c>
      <c r="BL264" s="20" t="str">
        <f ca="1">OFFSET(Tab.Uncertainty.Levels!$A$1,MATCH(BL$88,Tab.Uncertainty.Levels!$A:$A,0)-1,MATCH(BL$87&amp;"_"&amp;BK264,Tab.Uncertainty.Levels!$1:$1,0)-1)</f>
        <v>Insulation available; insulation thickness and year of implementation unknown</v>
      </c>
      <c r="BM264" s="24">
        <f ca="1">OFFSET(Tab.Uncertainty.Levels!$A$1,MATCH(BM$88,Tab.Uncertainty.Levels!$A:$A,0)-1,MATCH(BM$87&amp;"_"&amp;BK264,Tab.Uncertainty.Levels!$1:$1,0)-1)</f>
        <v>0.5</v>
      </c>
      <c r="BN264" s="34">
        <f ca="1">OFFSET(Tab.Uncertainty.Levels!$A$1,MATCH(BN$88,Tab.Uncertainty.Levels!$A:$A,0)-1,MATCH(BN$87&amp;"_"&amp;BK264,Tab.Uncertainty.Levels!$1:$1,0)-1)</f>
        <v>8</v>
      </c>
      <c r="BO264" s="13">
        <f ca="1">IFERROR(MIN(BM264,BN264/AN264),0)</f>
        <v>0.5</v>
      </c>
      <c r="BP264" s="32" t="str">
        <f>IF(OR($L264="NoDataSource",IFERROR(IF($V264="",#N/A,$V264),0)=0),IF(IFERROR(IF(U264="",#N/A,U264),0)=0,"E","D"),IF($L264="DesignDataPlusQA","A",IF($L264="DesignData","B","C")))</f>
        <v>E</v>
      </c>
      <c r="BQ264" s="20" t="str">
        <f ca="1">OFFSET(Tab.Uncertainty.Levels!$A$1,MATCH(BQ$88,Tab.Uncertainty.Levels!$A:$A,0)-1,MATCH(BQ$87&amp;"_"&amp;BP264,Tab.Uncertainty.Levels!$1:$1,0)-1)</f>
        <v>Insulation available; no information about material and year of implementation</v>
      </c>
      <c r="BR264" s="97">
        <f ca="1">OFFSET(Tab.Uncertainty.Levels!$A$1,MATCH(BR$88,Tab.Uncertainty.Levels!$A:$A,0)-1,MATCH(BR$87&amp;"_"&amp;BP264,Tab.Uncertainty.Levels!$1:$1,0)-1)</f>
        <v>0.3</v>
      </c>
      <c r="BS264" s="32" t="str">
        <f>IF(L264="NoDataSource","D",IF(IFERROR(IF($T264="",#N/A,$T264),0)=0,IF(OR(IFERROR(IF($S264="",#N/A,$S264),0)&gt;0,$R264="Refurbish"),"D","E"),IF($L264="DesignDataPlusQA","A",IF($L264="DesignData","B","C"))))</f>
        <v>D</v>
      </c>
      <c r="BT264" s="20" t="str">
        <f ca="1">OFFSET(Tab.Uncertainty.Levels!$A$1,MATCH(BT$88,Tab.Uncertainty.Levels!$A:$A,0)-1,MATCH(BT$87&amp;"_"&amp;BS264,Tab.Uncertainty.Levels!$1:$1,0)-1)</f>
        <v>Insulation has been applied, but no information about insulation fraction (default fraction value is the average insulation fraction for all insulated buildings)</v>
      </c>
      <c r="BU264" s="33">
        <f ca="1">OFFSET(Tab.Uncertainty.Levels!$A$1,MATCH(BU$88,Tab.Uncertainty.Levels!$A:$A,0)-1,MATCH(BU$87&amp;"_"&amp;BS264,Tab.Uncertainty.Levels!$1:$1,0)-1)</f>
        <v>0.3</v>
      </c>
      <c r="BV264" s="13">
        <f ca="1">IFERROR(MIN(BU264/AW264,1,(1-AW264)/AW264),0)</f>
        <v>0.81081081081081074</v>
      </c>
      <c r="BW264" s="96">
        <f ca="1">ABS(1+(AW264*(1/(1+AN264/100/AP264*AG264)^2-1)))*BJ264*$AG264</f>
        <v>0.39720415224913491</v>
      </c>
      <c r="BX264" s="96">
        <f ca="1">ABS(-AG264+1/(1/AG264+AN264/100/AP264))*BV264*AW264</f>
        <v>0.2541176470588235</v>
      </c>
      <c r="BY264" s="96">
        <f ca="1">ABS(-AW264*AP264/((AP264/AG264+AN264/100)^2))*(BO264*AN264/100)</f>
        <v>4.6089965397923871E-2</v>
      </c>
      <c r="BZ264" s="202">
        <f ca="1">ABS(AW264*AN264/100/(1/AG264*AP264+AN264/100)^2)*(BR264*AP264)</f>
        <v>2.7653979238754324E-2</v>
      </c>
      <c r="CA264" s="103">
        <f t="shared" ca="1" si="198"/>
        <v>0.47459029129216918</v>
      </c>
      <c r="CB264" s="37">
        <f t="shared" ca="1" si="254"/>
        <v>0.44801423754215058</v>
      </c>
      <c r="CC264" s="37">
        <f t="shared" ca="1" si="255"/>
        <v>0.28662420382165599</v>
      </c>
      <c r="CD264" s="37">
        <f t="shared" ca="1" si="256"/>
        <v>5.1985762457849374E-2</v>
      </c>
      <c r="CE264" s="37">
        <f t="shared" ca="1" si="257"/>
        <v>3.1191457474709628E-2</v>
      </c>
      <c r="CF264" s="13">
        <f t="shared" ca="1" si="258"/>
        <v>0.53529955891499981</v>
      </c>
      <c r="CG264" s="101">
        <f ca="1">AG264</f>
        <v>1.2</v>
      </c>
      <c r="CH264" s="101">
        <f ca="1">AW264</f>
        <v>0.37</v>
      </c>
      <c r="CI264" s="203">
        <f ca="1">IF(CH264&gt;0,AN264,0)</f>
        <v>8</v>
      </c>
      <c r="CJ264" s="102">
        <f ca="1">IF(AND(CH264&gt;0,CI264&gt;0),AP264,0)</f>
        <v>0.04</v>
      </c>
      <c r="CK264" s="102">
        <f ca="1">BB264</f>
        <v>0.88658823529411768</v>
      </c>
      <c r="CL264" s="37">
        <f t="shared" ca="1" si="230"/>
        <v>0.5</v>
      </c>
      <c r="CM264" s="37">
        <f t="shared" ca="1" si="231"/>
        <v>0.81081081081081074</v>
      </c>
      <c r="CN264" s="37">
        <f t="shared" ca="1" si="232"/>
        <v>0.5</v>
      </c>
      <c r="CO264" s="37">
        <f t="shared" ca="1" si="233"/>
        <v>0.3</v>
      </c>
      <c r="CP264" s="37">
        <f t="shared" ca="1" si="234"/>
        <v>0.53529955891499981</v>
      </c>
      <c r="CQ264" s="95">
        <f t="shared" ca="1" si="235"/>
        <v>0.6</v>
      </c>
      <c r="CR264" s="95">
        <f t="shared" ca="1" si="236"/>
        <v>0.3</v>
      </c>
      <c r="CS264" s="95">
        <f t="shared" ca="1" si="237"/>
        <v>4</v>
      </c>
      <c r="CT264" s="103">
        <f t="shared" ca="1" si="238"/>
        <v>1.2E-2</v>
      </c>
      <c r="CU264" s="95">
        <f t="shared" ca="1" si="239"/>
        <v>0.47459029129216923</v>
      </c>
      <c r="CV264" s="37">
        <f ca="1">$CB264^2/$CF264^2</f>
        <v>0.70047051704823227</v>
      </c>
      <c r="CW264" s="37">
        <f ca="1">$CD264^2/$CF264^2</f>
        <v>9.4313761254231996E-3</v>
      </c>
      <c r="CX264" s="37">
        <f ca="1">$CE264^2/$CF264^2</f>
        <v>3.3952954051523526E-3</v>
      </c>
      <c r="CY264" s="37">
        <f ca="1">$CC264^2/$CF264^2</f>
        <v>0.28670281142119197</v>
      </c>
      <c r="DA264" s="98" t="s">
        <v>214</v>
      </c>
      <c r="DB264" s="36">
        <f ca="1">OFFSET($A$1,ROW(DB264)-1,MATCH(DA264,$1:$1,0)-1)</f>
        <v>8</v>
      </c>
      <c r="DC264" s="9">
        <f ca="1">BB264</f>
        <v>0.88658823529411768</v>
      </c>
      <c r="DD264" s="9">
        <f ca="1">$DC264+$CA264</f>
        <v>1.3611785265862868</v>
      </c>
      <c r="DE264" s="9">
        <f ca="1">$DC264-$CA264</f>
        <v>0.4119979440019485</v>
      </c>
      <c r="DF264" s="10">
        <f t="shared" ca="1" si="245"/>
        <v>0.5352995589149997</v>
      </c>
    </row>
    <row r="265" spans="1:110" s="8" customFormat="1" ht="32.4" customHeight="1">
      <c r="A265" s="206" t="s">
        <v>736</v>
      </c>
      <c r="B265" s="210" t="s">
        <v>2350</v>
      </c>
      <c r="C265" s="206" t="s">
        <v>1015</v>
      </c>
      <c r="D265" s="206"/>
      <c r="E265" s="206"/>
      <c r="F265" s="206"/>
      <c r="G265" s="206"/>
      <c r="H265" s="207"/>
      <c r="I265" s="156" t="s">
        <v>80</v>
      </c>
      <c r="J265" s="156" t="s">
        <v>1010</v>
      </c>
      <c r="K265" s="156" t="s">
        <v>1010</v>
      </c>
      <c r="L265" s="156" t="s">
        <v>190</v>
      </c>
      <c r="M265" s="156" t="s">
        <v>188</v>
      </c>
      <c r="N265" s="7">
        <v>1960</v>
      </c>
      <c r="O265" s="156" t="e">
        <v>#N/A</v>
      </c>
      <c r="P265" s="156" t="e">
        <v>#N/A</v>
      </c>
      <c r="Q265" s="156" t="s">
        <v>435</v>
      </c>
      <c r="R265" s="156" t="s">
        <v>204</v>
      </c>
      <c r="S265" s="19" t="e">
        <v>#N/A</v>
      </c>
      <c r="T265" s="19" t="e">
        <v>#N/A</v>
      </c>
      <c r="U265" s="19" t="e">
        <v>#N/A</v>
      </c>
      <c r="V265" s="19" t="e">
        <v>#N/A</v>
      </c>
      <c r="W265" s="28" t="s">
        <v>41</v>
      </c>
      <c r="X265" s="19" t="e">
        <v>#N/A</v>
      </c>
      <c r="Y265" s="105">
        <f ca="1">IFERROR(OFFSET(Tab.Const.ConstrBorder!$A$1,MATCH(Q265,Tab.Const.ConstrBorder!$A:$A,0)-1,MATCH(Y$87,Tab.Const.ConstrBorder!$1:$1,0)-1),0)</f>
        <v>0</v>
      </c>
      <c r="Z265" s="18">
        <f t="shared" si="188"/>
        <v>1960</v>
      </c>
      <c r="AA265" s="17">
        <f>MATCH(Z265,Tab.Year.Period!$11:$11,1)-3</f>
        <v>5</v>
      </c>
      <c r="AB265" s="17">
        <f>MATCH(AB$88&amp;"."&amp;TEXT(AA265,"00"),Tab.U.Default!$A:$A,0)</f>
        <v>28</v>
      </c>
      <c r="AC265" s="105">
        <f ca="1">OFFSET(Tab.U.Default!$A$1,$AB265-1,MATCH("U_Class_"&amp;IF($J265="TopCeiling","UpperCeiling",$J265)&amp;"_"&amp;AC$87,Tab.U.Default!$1:$1,0)-1)</f>
        <v>1.1000000000000001</v>
      </c>
      <c r="AD265" s="105">
        <f ca="1">OFFSET(Tab.U.Default!$A$1,$AB265-1,MATCH("U_Class_"&amp;IF($J265="TopCeiling","UpperCeiling",$J265)&amp;"_"&amp;AD$87,Tab.U.Default!$1:$1,0)-1)</f>
        <v>1.3</v>
      </c>
      <c r="AE265" s="105">
        <f ca="1">OFFSET(Tab.U.Default!$A$1,$AB265-1,MATCH("U_Class_"&amp;IF($J265="TopCeiling","UpperCeiling",$J265)&amp;"_"&amp;AE$87,Tab.U.Default!$1:$1,0)-1)</f>
        <v>0.8</v>
      </c>
      <c r="AF265" s="26">
        <f t="shared" ca="1" si="189"/>
        <v>1.1000000000000001</v>
      </c>
      <c r="AG265" s="26">
        <f t="shared" ref="AG265:AG276" ca="1" si="259">1/(1/AF265+Y265)</f>
        <v>1.1000000000000001</v>
      </c>
      <c r="AH265" s="18" t="str">
        <f t="shared" si="246"/>
        <v>Original</v>
      </c>
      <c r="AI265" s="18" t="str">
        <f t="shared" ref="AI265" si="260">IF(W265&lt;&gt;"_NA_",W265,IF(R265="Original","ReplaceInsulation","Add"))</f>
        <v>ReplaceInsulation</v>
      </c>
      <c r="AJ265" s="18">
        <f t="shared" si="192"/>
        <v>1960</v>
      </c>
      <c r="AK265" s="17">
        <f>MATCH(AJ265,Tab.Year.Period!$11:$11,1)-3</f>
        <v>5</v>
      </c>
      <c r="AL265" s="17">
        <f>MATCH(AL$88&amp;"."&amp;TEXT(AK265,"00"),Tab.Insulation.Default!$A:$A,0)</f>
        <v>16</v>
      </c>
      <c r="AM265" s="20">
        <f ca="1">IF(ISNA(IF(S265="",#N/A,S265)),OFFSET(Tab.Insulation.Default!$A$1,$AL265-1,MATCH(AM$87&amp;"_"&amp;$K265,Tab.Insulation.Default!$1:$1,0)-1),#N/A)</f>
        <v>1</v>
      </c>
      <c r="AN265" s="27">
        <f t="shared" si="193"/>
        <v>0</v>
      </c>
      <c r="AO265" s="22">
        <f ca="1">IF(ISNA(IF(V265="",#N/A,V265)),OFFSET(Tab.Insulation.Default!$A$1,$AL265-1,MATCH(AO$87&amp;"_"&amp;$K265,Tab.Insulation.Default!$1:$1,0)-1),#N/A)</f>
        <v>0.05</v>
      </c>
      <c r="AP265" s="23">
        <f t="shared" ca="1" si="194"/>
        <v>0.05</v>
      </c>
      <c r="AQ265" s="29" t="str">
        <f t="shared" si="247"/>
        <v>Gen.Refurbished.05</v>
      </c>
      <c r="AR265" s="17">
        <f>MATCH(AR$88&amp;"."&amp;AQ265,Tab.Measure.f.Default!$A:$A,0)</f>
        <v>16</v>
      </c>
      <c r="AS265" s="21">
        <f ca="1">OFFSET(Tab.Measure.f.Default!$A$1,AR265-1,MATCH(AS$87&amp;"_"&amp;$K265,Tab.Measure.f.Default!$1:$1,0)-1)</f>
        <v>0.9</v>
      </c>
      <c r="AT265" s="29" t="str">
        <f t="shared" si="248"/>
        <v>MUH.NA.05</v>
      </c>
      <c r="AU265" s="17">
        <f>MATCH(AU$88&amp;"."&amp;AT265,Tab.Measure.f.Default!$A:$A,0)</f>
        <v>40</v>
      </c>
      <c r="AV265" s="21">
        <f ca="1">OFFSET(Tab.Measure.f.Default!$A$1,AU265-1,MATCH(AV$87&amp;"_"&amp;$J265,Tab.Measure.f.Default!$1:$1,0)-1)</f>
        <v>0.62</v>
      </c>
      <c r="AW265" s="30">
        <f t="shared" si="195"/>
        <v>0</v>
      </c>
      <c r="AX265" s="9">
        <f t="shared" ca="1" si="249"/>
        <v>0.90909090909090906</v>
      </c>
      <c r="AY265" s="9">
        <f t="shared" si="250"/>
        <v>0</v>
      </c>
      <c r="AZ265" s="9">
        <f t="shared" ref="AZ265" ca="1" si="261">AX265+AY265</f>
        <v>0.90909090909090906</v>
      </c>
      <c r="BA265" s="9">
        <f t="shared" ref="BA265" ca="1" si="262">1/AZ265</f>
        <v>1.1000000000000001</v>
      </c>
      <c r="BB265" s="9">
        <f t="shared" ca="1" si="251"/>
        <v>1.1000000000000001</v>
      </c>
      <c r="BC265" s="32" t="str">
        <f t="shared" si="252"/>
        <v>D</v>
      </c>
      <c r="BD265" s="20" t="str">
        <f ca="1">OFFSET(Tab.Uncertainty.Levels!$A$1,MATCH(BD$88,Tab.Uncertainty.Levels!$A:$A,0)-1,MATCH(BD$87&amp;"_"&amp;BC265,Tab.Uncertainty.Levels!$1:$1,0)-1)</f>
        <v>Use of default values; building constructed until 1983</v>
      </c>
      <c r="BE265" s="24">
        <f ca="1">OFFSET(Tab.Uncertainty.Levels!$A$1,MATCH(BE$88,Tab.Uncertainty.Levels!$A:$A,0)-1,MATCH(BE$87&amp;"_"&amp;BC265,Tab.Uncertainty.Levels!$1:$1,0)-1)</f>
        <v>0.3</v>
      </c>
      <c r="BF265" s="32" t="str">
        <f t="shared" si="253"/>
        <v>-</v>
      </c>
      <c r="BG265" s="20" t="e">
        <f ca="1">OFFSET(Tab.Uncertainty.Levels!$A$1,MATCH(BG$88,Tab.Uncertainty.Levels!$A:$A,0)-1,MATCH(BG$87&amp;"_"&amp;BF265,Tab.Uncertainty.Levels!$1:$1,0)-1)</f>
        <v>#N/A</v>
      </c>
      <c r="BH265" s="24" t="e">
        <f ca="1">OFFSET(Tab.Uncertainty.Levels!$A$1,MATCH(BH$88,Tab.Uncertainty.Levels!$A:$A,0)-1,MATCH(BH$87&amp;"_"&amp;BF265,Tab.Uncertainty.Levels!$1:$1,0)-1)</f>
        <v>#N/A</v>
      </c>
      <c r="BI265" s="32" t="str">
        <f t="shared" si="224"/>
        <v>D</v>
      </c>
      <c r="BJ265" s="13">
        <f t="shared" ref="BJ265" ca="1" si="263">IF(BF265="-",BE265,BH265)</f>
        <v>0.3</v>
      </c>
      <c r="BK265" s="32" t="str">
        <f>IF(OR($L265="NoDataSource",IFERROR(IF($S265="",#N/A,$S265),0)=0),IF(IFERROR(IF(U265="",#N/A,U265),0)=0,"E","D"),IF($L265="DesignDataPlusQA","A",IF($L265="DesignData","B","C")))</f>
        <v>E</v>
      </c>
      <c r="BL265" s="20" t="str">
        <f ca="1">OFFSET(Tab.Uncertainty.Levels!$A$1,MATCH(BL$88,Tab.Uncertainty.Levels!$A:$A,0)-1,MATCH(BL$87&amp;"_"&amp;BK265,Tab.Uncertainty.Levels!$1:$1,0)-1)</f>
        <v>Insulation available; insulation thickness and year of implementation unknown</v>
      </c>
      <c r="BM265" s="24">
        <f ca="1">OFFSET(Tab.Uncertainty.Levels!$A$1,MATCH(BM$88,Tab.Uncertainty.Levels!$A:$A,0)-1,MATCH(BM$87&amp;"_"&amp;BK265,Tab.Uncertainty.Levels!$1:$1,0)-1)</f>
        <v>0.5</v>
      </c>
      <c r="BN265" s="34">
        <f ca="1">OFFSET(Tab.Uncertainty.Levels!$A$1,MATCH(BN$88,Tab.Uncertainty.Levels!$A:$A,0)-1,MATCH(BN$87&amp;"_"&amp;BK265,Tab.Uncertainty.Levels!$1:$1,0)-1)</f>
        <v>8</v>
      </c>
      <c r="BO265" s="13">
        <f ca="1">IFERROR(MIN(BM265,BN265/AN265),0)</f>
        <v>0</v>
      </c>
      <c r="BP265" s="32" t="str">
        <f>IF(OR($L265="NoDataSource",IFERROR(IF($V265="",#N/A,$V265),0)=0),IF(IFERROR(IF(U265="",#N/A,U265),0)=0,"E","D"),IF($L265="DesignDataPlusQA","A",IF($L265="DesignData","B","C")))</f>
        <v>E</v>
      </c>
      <c r="BQ265" s="20" t="str">
        <f ca="1">OFFSET(Tab.Uncertainty.Levels!$A$1,MATCH(BQ$88,Tab.Uncertainty.Levels!$A:$A,0)-1,MATCH(BQ$87&amp;"_"&amp;BP265,Tab.Uncertainty.Levels!$1:$1,0)-1)</f>
        <v>Insulation available; no information about material and year of implementation</v>
      </c>
      <c r="BR265" s="97">
        <f ca="1">OFFSET(Tab.Uncertainty.Levels!$A$1,MATCH(BR$88,Tab.Uncertainty.Levels!$A:$A,0)-1,MATCH(BR$87&amp;"_"&amp;BP265,Tab.Uncertainty.Levels!$1:$1,0)-1)</f>
        <v>0.3</v>
      </c>
      <c r="BS265" s="32" t="str">
        <f>IF(L265="NoDataSource","D",IF(IFERROR(IF($T265="",#N/A,$T265),0)=0,IF(OR(IFERROR(IF($S265="",#N/A,$S265),0)&gt;0,$R265="Refurbish"),"D","E"),IF($L265="DesignDataPlusQA","A",IF($L265="DesignData","B","C"))))</f>
        <v>E</v>
      </c>
      <c r="BT265" s="20" t="str">
        <f ca="1">OFFSET(Tab.Uncertainty.Levels!$A$1,MATCH(BT$88,Tab.Uncertainty.Levels!$A:$A,0)-1,MATCH(BT$87&amp;"_"&amp;BS265,Tab.Uncertainty.Levels!$1:$1,0)-1)</f>
        <v>Unknown if insulation has been applied (default fraction value is the average insulation fraction for all buildings)</v>
      </c>
      <c r="BU265" s="33">
        <f ca="1">OFFSET(Tab.Uncertainty.Levels!$A$1,MATCH(BU$88,Tab.Uncertainty.Levels!$A:$A,0)-1,MATCH(BU$87&amp;"_"&amp;BS265,Tab.Uncertainty.Levels!$1:$1,0)-1)</f>
        <v>0.5</v>
      </c>
      <c r="BV265" s="13">
        <f ca="1">IFERROR(MIN(BU265/AW265,1,(1-AW265)/AW265),0)</f>
        <v>0</v>
      </c>
      <c r="BW265" s="96">
        <f ca="1">ABS(1+(AW265*(1/(1+AN265/100/AP265*AG265)^2-1)))*BJ265*$AG265</f>
        <v>0.33</v>
      </c>
      <c r="BX265" s="96">
        <f ca="1">ABS(-AG265+1/(1/AG265+AN265/100/AP265))*BV265*AW265</f>
        <v>0</v>
      </c>
      <c r="BY265" s="96">
        <f ca="1">ABS(-AW265*AP265/((AP265/AG265+AN265/100)^2))*(BO265*AN265/100)</f>
        <v>0</v>
      </c>
      <c r="BZ265" s="202">
        <f ca="1">ABS(AW265*AN265/100/(1/AG265*AP265+AN265/100)^2)*(BR265*AP265)</f>
        <v>0</v>
      </c>
      <c r="CA265" s="103">
        <f t="shared" ca="1" si="198"/>
        <v>0.33</v>
      </c>
      <c r="CB265" s="37">
        <f t="shared" ca="1" si="254"/>
        <v>0.3</v>
      </c>
      <c r="CC265" s="37">
        <f t="shared" ca="1" si="255"/>
        <v>0</v>
      </c>
      <c r="CD265" s="37">
        <f t="shared" ca="1" si="256"/>
        <v>0</v>
      </c>
      <c r="CE265" s="37">
        <f t="shared" ca="1" si="257"/>
        <v>0</v>
      </c>
      <c r="CF265" s="13">
        <f t="shared" ca="1" si="258"/>
        <v>0.3</v>
      </c>
      <c r="CG265" s="101">
        <f ca="1">AG265</f>
        <v>1.1000000000000001</v>
      </c>
      <c r="CH265" s="101">
        <f>AW265</f>
        <v>0</v>
      </c>
      <c r="CI265" s="203">
        <f>IF(CH265&gt;0,AN265,0)</f>
        <v>0</v>
      </c>
      <c r="CJ265" s="102">
        <f>IF(AND(CH265&gt;0,CI265&gt;0),AP265,0)</f>
        <v>0</v>
      </c>
      <c r="CK265" s="102">
        <f ca="1">BB265</f>
        <v>1.1000000000000001</v>
      </c>
      <c r="CL265" s="37">
        <f t="shared" ref="CL265:CL276" ca="1" si="264">BJ265</f>
        <v>0.3</v>
      </c>
      <c r="CM265" s="37">
        <f t="shared" ref="CM265:CM276" ca="1" si="265">BV265</f>
        <v>0</v>
      </c>
      <c r="CN265" s="37">
        <f t="shared" ref="CN265:CN276" ca="1" si="266">BO265</f>
        <v>0</v>
      </c>
      <c r="CO265" s="37">
        <f t="shared" ref="CO265:CO276" ca="1" si="267">BR265</f>
        <v>0.3</v>
      </c>
      <c r="CP265" s="37">
        <f t="shared" ref="CP265:CP275" ca="1" si="268">CF265</f>
        <v>0.3</v>
      </c>
      <c r="CQ265" s="95">
        <f t="shared" ref="CQ265:CQ275" ca="1" si="269">CG265*CL265</f>
        <v>0.33</v>
      </c>
      <c r="CR265" s="95">
        <f t="shared" ref="CR265:CR275" ca="1" si="270">CH265*CM265</f>
        <v>0</v>
      </c>
      <c r="CS265" s="95">
        <f t="shared" ref="CS265:CS275" ca="1" si="271">CI265*CN265</f>
        <v>0</v>
      </c>
      <c r="CT265" s="103">
        <f t="shared" ref="CT265:CT275" ca="1" si="272">CJ265*CO265</f>
        <v>0</v>
      </c>
      <c r="CU265" s="95">
        <f t="shared" ref="CU265:CU275" ca="1" si="273">CK265*CP265</f>
        <v>0.33</v>
      </c>
      <c r="CV265" s="37">
        <f ca="1">$CB265^2/$CF265^2</f>
        <v>1</v>
      </c>
      <c r="CW265" s="37">
        <f ca="1">$CD265^2/$CF265^2</f>
        <v>0</v>
      </c>
      <c r="CX265" s="37">
        <f ca="1">$CE265^2/$CF265^2</f>
        <v>0</v>
      </c>
      <c r="CY265" s="37">
        <f ca="1">$CC265^2/$CF265^2</f>
        <v>0</v>
      </c>
      <c r="DA265" s="98" t="s">
        <v>214</v>
      </c>
      <c r="DB265" s="36">
        <f ca="1">OFFSET($A$1,ROW(DB265)-1,MATCH(DA265,$1:$1,0)-1)</f>
        <v>0</v>
      </c>
      <c r="DC265" s="9">
        <f ca="1">BB265</f>
        <v>1.1000000000000001</v>
      </c>
      <c r="DD265" s="9">
        <f ca="1">$DC265+$CA265</f>
        <v>1.4300000000000002</v>
      </c>
      <c r="DE265" s="9">
        <f ca="1">$DC265-$CA265</f>
        <v>0.77</v>
      </c>
      <c r="DF265" s="10">
        <f t="shared" ca="1" si="245"/>
        <v>0.30000000000000004</v>
      </c>
    </row>
    <row r="266" spans="1:110" s="8" customFormat="1" ht="32.4" customHeight="1">
      <c r="A266" s="206" t="s">
        <v>737</v>
      </c>
      <c r="B266" s="210" t="s">
        <v>2350</v>
      </c>
      <c r="C266" s="206" t="s">
        <v>1016</v>
      </c>
      <c r="D266" s="206"/>
      <c r="E266" s="206"/>
      <c r="F266" s="206"/>
      <c r="G266" s="206"/>
      <c r="H266" s="207"/>
      <c r="I266" s="156" t="s">
        <v>80</v>
      </c>
      <c r="J266" s="156" t="s">
        <v>1010</v>
      </c>
      <c r="K266" s="156" t="s">
        <v>1010</v>
      </c>
      <c r="L266" s="156" t="s">
        <v>190</v>
      </c>
      <c r="M266" s="156" t="s">
        <v>188</v>
      </c>
      <c r="N266" s="7">
        <v>1980</v>
      </c>
      <c r="O266" s="156" t="e">
        <v>#N/A</v>
      </c>
      <c r="P266" s="156" t="e">
        <v>#N/A</v>
      </c>
      <c r="Q266" s="156" t="s">
        <v>435</v>
      </c>
      <c r="R266" s="156" t="s">
        <v>204</v>
      </c>
      <c r="S266" s="19" t="e">
        <v>#N/A</v>
      </c>
      <c r="T266" s="19" t="e">
        <v>#N/A</v>
      </c>
      <c r="U266" s="19" t="e">
        <v>#N/A</v>
      </c>
      <c r="V266" s="19" t="e">
        <v>#N/A</v>
      </c>
      <c r="W266" s="28" t="s">
        <v>41</v>
      </c>
      <c r="X266" s="19" t="e">
        <v>#N/A</v>
      </c>
      <c r="Y266" s="105">
        <f ca="1">IFERROR(OFFSET(Tab.Const.ConstrBorder!$A$1,MATCH(Q266,Tab.Const.ConstrBorder!$A:$A,0)-1,MATCH(Y$87,Tab.Const.ConstrBorder!$1:$1,0)-1),0)</f>
        <v>0</v>
      </c>
      <c r="Z266" s="18">
        <f t="shared" si="188"/>
        <v>1980</v>
      </c>
      <c r="AA266" s="17">
        <f>MATCH(Z266,Tab.Year.Period!$11:$11,1)-3</f>
        <v>7</v>
      </c>
      <c r="AB266" s="17">
        <f>MATCH(AB$88&amp;"."&amp;TEXT(AA266,"00"),Tab.U.Default!$A:$A,0)</f>
        <v>30</v>
      </c>
      <c r="AC266" s="105">
        <f ca="1">OFFSET(Tab.U.Default!$A$1,$AB266-1,MATCH("U_Class_"&amp;IF($J266="TopCeiling","UpperCeiling",$J266)&amp;"_"&amp;AC$87,Tab.U.Default!$1:$1,0)-1)</f>
        <v>0.6</v>
      </c>
      <c r="AD266" s="105">
        <f ca="1">OFFSET(Tab.U.Default!$A$1,$AB266-1,MATCH("U_Class_"&amp;IF($J266="TopCeiling","UpperCeiling",$J266)&amp;"_"&amp;AD$87,Tab.U.Default!$1:$1,0)-1)</f>
        <v>0.7</v>
      </c>
      <c r="AE266" s="105">
        <f ca="1">OFFSET(Tab.U.Default!$A$1,$AB266-1,MATCH("U_Class_"&amp;IF($J266="TopCeiling","UpperCeiling",$J266)&amp;"_"&amp;AE$87,Tab.U.Default!$1:$1,0)-1)</f>
        <v>0.5</v>
      </c>
      <c r="AF266" s="26">
        <f t="shared" ca="1" si="189"/>
        <v>0.6</v>
      </c>
      <c r="AG266" s="26">
        <f t="shared" ca="1" si="259"/>
        <v>0.6</v>
      </c>
      <c r="AH266" s="18" t="str">
        <f t="shared" si="246"/>
        <v>Original</v>
      </c>
      <c r="AI266" s="18" t="str">
        <f t="shared" ref="AI266:AI275" si="274">IF(W266&lt;&gt;"_NA_",W266,IF(R266="Original","ReplaceInsulation","Add"))</f>
        <v>ReplaceInsulation</v>
      </c>
      <c r="AJ266" s="18">
        <f t="shared" si="192"/>
        <v>1980</v>
      </c>
      <c r="AK266" s="17">
        <f>MATCH(AJ266,Tab.Year.Period!$11:$11,1)-3</f>
        <v>7</v>
      </c>
      <c r="AL266" s="17">
        <f>MATCH(AL$88&amp;"."&amp;TEXT(AK266,"00"),Tab.Insulation.Default!$A:$A,0)</f>
        <v>18</v>
      </c>
      <c r="AM266" s="20">
        <f ca="1">IF(ISNA(IF(S266="",#N/A,S266)),OFFSET(Tab.Insulation.Default!$A$1,$AL266-1,MATCH(AM$87&amp;"_"&amp;$K266,Tab.Insulation.Default!$1:$1,0)-1),#N/A)</f>
        <v>6</v>
      </c>
      <c r="AN266" s="27">
        <f t="shared" si="193"/>
        <v>0</v>
      </c>
      <c r="AO266" s="22">
        <f ca="1">IF(ISNA(IF(V266="",#N/A,V266)),OFFSET(Tab.Insulation.Default!$A$1,$AL266-1,MATCH(AO$87&amp;"_"&amp;$K266,Tab.Insulation.Default!$1:$1,0)-1),#N/A)</f>
        <v>4.4999999999999998E-2</v>
      </c>
      <c r="AP266" s="23">
        <f t="shared" ca="1" si="194"/>
        <v>4.4999999999999998E-2</v>
      </c>
      <c r="AQ266" s="29" t="str">
        <f t="shared" si="247"/>
        <v>Gen.Refurbished.07</v>
      </c>
      <c r="AR266" s="17">
        <f>MATCH(AR$88&amp;"."&amp;AQ266,Tab.Measure.f.Default!$A:$A,0)</f>
        <v>18</v>
      </c>
      <c r="AS266" s="21">
        <f ca="1">OFFSET(Tab.Measure.f.Default!$A$1,AR266-1,MATCH(AS$87&amp;"_"&amp;$K266,Tab.Measure.f.Default!$1:$1,0)-1)</f>
        <v>0.9</v>
      </c>
      <c r="AT266" s="29" t="str">
        <f t="shared" si="248"/>
        <v>MUH.NA.07</v>
      </c>
      <c r="AU266" s="17">
        <f>MATCH(AU$88&amp;"."&amp;AT266,Tab.Measure.f.Default!$A:$A,0)</f>
        <v>42</v>
      </c>
      <c r="AV266" s="21">
        <f ca="1">OFFSET(Tab.Measure.f.Default!$A$1,AU266-1,MATCH(AV$87&amp;"_"&amp;$J266,Tab.Measure.f.Default!$1:$1,0)-1)</f>
        <v>0.19</v>
      </c>
      <c r="AW266" s="30">
        <f t="shared" si="195"/>
        <v>0</v>
      </c>
      <c r="AX266" s="9">
        <f t="shared" ca="1" si="249"/>
        <v>1.6666666666666667</v>
      </c>
      <c r="AY266" s="9">
        <f t="shared" si="250"/>
        <v>0</v>
      </c>
      <c r="AZ266" s="9">
        <f t="shared" ref="AZ266:AZ275" ca="1" si="275">AX266+AY266</f>
        <v>1.6666666666666667</v>
      </c>
      <c r="BA266" s="9">
        <f t="shared" ref="BA266:BA275" ca="1" si="276">1/AZ266</f>
        <v>0.6</v>
      </c>
      <c r="BB266" s="9">
        <f t="shared" ca="1" si="251"/>
        <v>0.6</v>
      </c>
      <c r="BC266" s="32" t="str">
        <f t="shared" si="252"/>
        <v>D</v>
      </c>
      <c r="BD266" s="20" t="str">
        <f ca="1">OFFSET(Tab.Uncertainty.Levels!$A$1,MATCH(BD$88,Tab.Uncertainty.Levels!$A:$A,0)-1,MATCH(BD$87&amp;"_"&amp;BC266,Tab.Uncertainty.Levels!$1:$1,0)-1)</f>
        <v>Use of default values; building constructed until 1983</v>
      </c>
      <c r="BE266" s="24">
        <f ca="1">OFFSET(Tab.Uncertainty.Levels!$A$1,MATCH(BE$88,Tab.Uncertainty.Levels!$A:$A,0)-1,MATCH(BE$87&amp;"_"&amp;BC266,Tab.Uncertainty.Levels!$1:$1,0)-1)</f>
        <v>0.3</v>
      </c>
      <c r="BF266" s="32" t="str">
        <f t="shared" si="253"/>
        <v>-</v>
      </c>
      <c r="BG266" s="20" t="e">
        <f ca="1">OFFSET(Tab.Uncertainty.Levels!$A$1,MATCH(BG$88,Tab.Uncertainty.Levels!$A:$A,0)-1,MATCH(BG$87&amp;"_"&amp;BF266,Tab.Uncertainty.Levels!$1:$1,0)-1)</f>
        <v>#N/A</v>
      </c>
      <c r="BH266" s="24" t="e">
        <f ca="1">OFFSET(Tab.Uncertainty.Levels!$A$1,MATCH(BH$88,Tab.Uncertainty.Levels!$A:$A,0)-1,MATCH(BH$87&amp;"_"&amp;BF266,Tab.Uncertainty.Levels!$1:$1,0)-1)</f>
        <v>#N/A</v>
      </c>
      <c r="BI266" s="32" t="str">
        <f t="shared" si="224"/>
        <v>D</v>
      </c>
      <c r="BJ266" s="13">
        <f t="shared" ref="BJ266:BJ275" ca="1" si="277">IF(BF266="-",BE266,BH266)</f>
        <v>0.3</v>
      </c>
      <c r="BK266" s="32" t="str">
        <f>IF(OR($L266="NoDataSource",IFERROR(IF($S266="",#N/A,$S266),0)=0),IF(IFERROR(IF(U266="",#N/A,U266),0)=0,"E","D"),IF($L266="DesignDataPlusQA","A",IF($L266="DesignData","B","C")))</f>
        <v>E</v>
      </c>
      <c r="BL266" s="20" t="str">
        <f ca="1">OFFSET(Tab.Uncertainty.Levels!$A$1,MATCH(BL$88,Tab.Uncertainty.Levels!$A:$A,0)-1,MATCH(BL$87&amp;"_"&amp;BK266,Tab.Uncertainty.Levels!$1:$1,0)-1)</f>
        <v>Insulation available; insulation thickness and year of implementation unknown</v>
      </c>
      <c r="BM266" s="24">
        <f ca="1">OFFSET(Tab.Uncertainty.Levels!$A$1,MATCH(BM$88,Tab.Uncertainty.Levels!$A:$A,0)-1,MATCH(BM$87&amp;"_"&amp;BK266,Tab.Uncertainty.Levels!$1:$1,0)-1)</f>
        <v>0.5</v>
      </c>
      <c r="BN266" s="34">
        <f ca="1">OFFSET(Tab.Uncertainty.Levels!$A$1,MATCH(BN$88,Tab.Uncertainty.Levels!$A:$A,0)-1,MATCH(BN$87&amp;"_"&amp;BK266,Tab.Uncertainty.Levels!$1:$1,0)-1)</f>
        <v>8</v>
      </c>
      <c r="BO266" s="13">
        <f ca="1">IFERROR(MIN(BM266,BN266/AN266),0)</f>
        <v>0</v>
      </c>
      <c r="BP266" s="32" t="str">
        <f>IF(OR($L266="NoDataSource",IFERROR(IF($V266="",#N/A,$V266),0)=0),IF(IFERROR(IF(U266="",#N/A,U266),0)=0,"E","D"),IF($L266="DesignDataPlusQA","A",IF($L266="DesignData","B","C")))</f>
        <v>E</v>
      </c>
      <c r="BQ266" s="20" t="str">
        <f ca="1">OFFSET(Tab.Uncertainty.Levels!$A$1,MATCH(BQ$88,Tab.Uncertainty.Levels!$A:$A,0)-1,MATCH(BQ$87&amp;"_"&amp;BP266,Tab.Uncertainty.Levels!$1:$1,0)-1)</f>
        <v>Insulation available; no information about material and year of implementation</v>
      </c>
      <c r="BR266" s="97">
        <f ca="1">OFFSET(Tab.Uncertainty.Levels!$A$1,MATCH(BR$88,Tab.Uncertainty.Levels!$A:$A,0)-1,MATCH(BR$87&amp;"_"&amp;BP266,Tab.Uncertainty.Levels!$1:$1,0)-1)</f>
        <v>0.3</v>
      </c>
      <c r="BS266" s="32" t="str">
        <f>IF(L266="NoDataSource","D",IF(IFERROR(IF($T266="",#N/A,$T266),0)=0,IF(OR(IFERROR(IF($S266="",#N/A,$S266),0)&gt;0,$R266="Refurbish"),"D","E"),IF($L266="DesignDataPlusQA","A",IF($L266="DesignData","B","C"))))</f>
        <v>E</v>
      </c>
      <c r="BT266" s="20" t="str">
        <f ca="1">OFFSET(Tab.Uncertainty.Levels!$A$1,MATCH(BT$88,Tab.Uncertainty.Levels!$A:$A,0)-1,MATCH(BT$87&amp;"_"&amp;BS266,Tab.Uncertainty.Levels!$1:$1,0)-1)</f>
        <v>Unknown if insulation has been applied (default fraction value is the average insulation fraction for all buildings)</v>
      </c>
      <c r="BU266" s="33">
        <f ca="1">OFFSET(Tab.Uncertainty.Levels!$A$1,MATCH(BU$88,Tab.Uncertainty.Levels!$A:$A,0)-1,MATCH(BU$87&amp;"_"&amp;BS266,Tab.Uncertainty.Levels!$1:$1,0)-1)</f>
        <v>0.5</v>
      </c>
      <c r="BV266" s="13">
        <f ca="1">IFERROR(MIN(BU266/AW266,1,(1-AW266)/AW266),0)</f>
        <v>0</v>
      </c>
      <c r="BW266" s="96">
        <f ca="1">ABS(1+(AW266*(1/(1+AN266/100/AP266*AG266)^2-1)))*BJ266*$AG266</f>
        <v>0.18</v>
      </c>
      <c r="BX266" s="96">
        <f ca="1">ABS(-AG266+1/(1/AG266+AN266/100/AP266))*BV266*AW266</f>
        <v>0</v>
      </c>
      <c r="BY266" s="96">
        <f ca="1">ABS(-AW266*AP266/((AP266/AG266+AN266/100)^2))*(BO266*AN266/100)</f>
        <v>0</v>
      </c>
      <c r="BZ266" s="202">
        <f ca="1">ABS(AW266*AN266/100/(1/AG266*AP266+AN266/100)^2)*(BR266*AP266)</f>
        <v>0</v>
      </c>
      <c r="CA266" s="103">
        <f t="shared" ca="1" si="198"/>
        <v>0.18</v>
      </c>
      <c r="CB266" s="37">
        <f t="shared" ca="1" si="254"/>
        <v>0.3</v>
      </c>
      <c r="CC266" s="37">
        <f t="shared" ca="1" si="255"/>
        <v>0</v>
      </c>
      <c r="CD266" s="37">
        <f t="shared" ca="1" si="256"/>
        <v>0</v>
      </c>
      <c r="CE266" s="37">
        <f t="shared" ca="1" si="257"/>
        <v>0</v>
      </c>
      <c r="CF266" s="13">
        <f t="shared" ca="1" si="258"/>
        <v>0.3</v>
      </c>
      <c r="CG266" s="101">
        <f ca="1">AG266</f>
        <v>0.6</v>
      </c>
      <c r="CH266" s="101">
        <f>AW266</f>
        <v>0</v>
      </c>
      <c r="CI266" s="203">
        <f>IF(CH266&gt;0,AN266,0)</f>
        <v>0</v>
      </c>
      <c r="CJ266" s="102">
        <f>IF(AND(CH266&gt;0,CI266&gt;0),AP266,0)</f>
        <v>0</v>
      </c>
      <c r="CK266" s="102">
        <f ca="1">BB266</f>
        <v>0.6</v>
      </c>
      <c r="CL266" s="37">
        <f t="shared" ca="1" si="264"/>
        <v>0.3</v>
      </c>
      <c r="CM266" s="37">
        <f t="shared" ca="1" si="265"/>
        <v>0</v>
      </c>
      <c r="CN266" s="37">
        <f t="shared" ca="1" si="266"/>
        <v>0</v>
      </c>
      <c r="CO266" s="37">
        <f t="shared" ca="1" si="267"/>
        <v>0.3</v>
      </c>
      <c r="CP266" s="37">
        <f t="shared" ca="1" si="268"/>
        <v>0.3</v>
      </c>
      <c r="CQ266" s="95">
        <f t="shared" ca="1" si="269"/>
        <v>0.18</v>
      </c>
      <c r="CR266" s="95">
        <f t="shared" ca="1" si="270"/>
        <v>0</v>
      </c>
      <c r="CS266" s="95">
        <f t="shared" ca="1" si="271"/>
        <v>0</v>
      </c>
      <c r="CT266" s="103">
        <f t="shared" ca="1" si="272"/>
        <v>0</v>
      </c>
      <c r="CU266" s="95">
        <f t="shared" ca="1" si="273"/>
        <v>0.18</v>
      </c>
      <c r="CV266" s="37">
        <f ca="1">$CB266^2/$CF266^2</f>
        <v>1</v>
      </c>
      <c r="CW266" s="37">
        <f ca="1">$CD266^2/$CF266^2</f>
        <v>0</v>
      </c>
      <c r="CX266" s="37">
        <f ca="1">$CE266^2/$CF266^2</f>
        <v>0</v>
      </c>
      <c r="CY266" s="37">
        <f ca="1">$CC266^2/$CF266^2</f>
        <v>0</v>
      </c>
      <c r="DA266" s="98" t="s">
        <v>214</v>
      </c>
      <c r="DB266" s="36">
        <f ca="1">OFFSET($A$1,ROW(DB266)-1,MATCH(DA266,$1:$1,0)-1)</f>
        <v>0</v>
      </c>
      <c r="DC266" s="9">
        <f ca="1">BB266</f>
        <v>0.6</v>
      </c>
      <c r="DD266" s="9">
        <f ca="1">$DC266+$CA266</f>
        <v>0.78</v>
      </c>
      <c r="DE266" s="9">
        <f ca="1">$DC266-$CA266</f>
        <v>0.42</v>
      </c>
      <c r="DF266" s="10">
        <f t="shared" ca="1" si="245"/>
        <v>0.30000000000000004</v>
      </c>
    </row>
    <row r="267" spans="1:110" s="8" customFormat="1" ht="32.4" customHeight="1">
      <c r="A267" s="206" t="s">
        <v>738</v>
      </c>
      <c r="B267" s="210" t="s">
        <v>2350</v>
      </c>
      <c r="C267" s="206" t="s">
        <v>1017</v>
      </c>
      <c r="D267" s="206"/>
      <c r="E267" s="206"/>
      <c r="F267" s="206"/>
      <c r="G267" s="206"/>
      <c r="H267" s="207"/>
      <c r="I267" s="156" t="s">
        <v>80</v>
      </c>
      <c r="J267" s="156" t="s">
        <v>1010</v>
      </c>
      <c r="K267" s="156" t="s">
        <v>1010</v>
      </c>
      <c r="L267" s="156" t="s">
        <v>190</v>
      </c>
      <c r="M267" s="156" t="s">
        <v>188</v>
      </c>
      <c r="N267" s="7">
        <v>2000</v>
      </c>
      <c r="O267" s="156" t="e">
        <v>#N/A</v>
      </c>
      <c r="P267" s="156" t="e">
        <v>#N/A</v>
      </c>
      <c r="Q267" s="156" t="s">
        <v>435</v>
      </c>
      <c r="R267" s="156" t="s">
        <v>204</v>
      </c>
      <c r="S267" s="19" t="e">
        <v>#N/A</v>
      </c>
      <c r="T267" s="19" t="e">
        <v>#N/A</v>
      </c>
      <c r="U267" s="19" t="e">
        <v>#N/A</v>
      </c>
      <c r="V267" s="19" t="e">
        <v>#N/A</v>
      </c>
      <c r="W267" s="28" t="s">
        <v>41</v>
      </c>
      <c r="X267" s="19" t="e">
        <v>#N/A</v>
      </c>
      <c r="Y267" s="105">
        <f ca="1">IFERROR(OFFSET(Tab.Const.ConstrBorder!$A$1,MATCH(Q267,Tab.Const.ConstrBorder!$A:$A,0)-1,MATCH(Y$87,Tab.Const.ConstrBorder!$1:$1,0)-1),0)</f>
        <v>0</v>
      </c>
      <c r="Z267" s="18">
        <f t="shared" si="188"/>
        <v>2000</v>
      </c>
      <c r="AA267" s="17">
        <f>MATCH(Z267,Tab.Year.Period!$11:$11,1)-3</f>
        <v>9</v>
      </c>
      <c r="AB267" s="17">
        <f>MATCH(AB$88&amp;"."&amp;TEXT(AA267,"00"),Tab.U.Default!$A:$A,0)</f>
        <v>32</v>
      </c>
      <c r="AC267" s="105">
        <f ca="1">OFFSET(Tab.U.Default!$A$1,$AB267-1,MATCH("U_Class_"&amp;IF($J267="TopCeiling","UpperCeiling",$J267)&amp;"_"&amp;AC$87,Tab.U.Default!$1:$1,0)-1)</f>
        <v>0.25</v>
      </c>
      <c r="AD267" s="105">
        <f ca="1">OFFSET(Tab.U.Default!$A$1,$AB267-1,MATCH("U_Class_"&amp;IF($J267="TopCeiling","UpperCeiling",$J267)&amp;"_"&amp;AD$87,Tab.U.Default!$1:$1,0)-1)</f>
        <v>0.25</v>
      </c>
      <c r="AE267" s="105">
        <f ca="1">OFFSET(Tab.U.Default!$A$1,$AB267-1,MATCH("U_Class_"&amp;IF($J267="TopCeiling","UpperCeiling",$J267)&amp;"_"&amp;AE$87,Tab.U.Default!$1:$1,0)-1)</f>
        <v>0.25</v>
      </c>
      <c r="AF267" s="26">
        <f t="shared" ca="1" si="189"/>
        <v>0.25</v>
      </c>
      <c r="AG267" s="26">
        <f t="shared" ca="1" si="259"/>
        <v>0.25</v>
      </c>
      <c r="AH267" s="18" t="str">
        <f t="shared" si="246"/>
        <v>Original</v>
      </c>
      <c r="AI267" s="18" t="str">
        <f t="shared" si="274"/>
        <v>ReplaceInsulation</v>
      </c>
      <c r="AJ267" s="18">
        <f t="shared" si="192"/>
        <v>2000</v>
      </c>
      <c r="AK267" s="17">
        <f>MATCH(AJ267,Tab.Year.Period!$11:$11,1)-3</f>
        <v>9</v>
      </c>
      <c r="AL267" s="17">
        <f>MATCH(AL$88&amp;"."&amp;TEXT(AK267,"00"),Tab.Insulation.Default!$A:$A,0)</f>
        <v>20</v>
      </c>
      <c r="AM267" s="20">
        <f ca="1">IF(ISNA(IF(S267="",#N/A,S267)),OFFSET(Tab.Insulation.Default!$A$1,$AL267-1,MATCH(AM$87&amp;"_"&amp;$K267,Tab.Insulation.Default!$1:$1,0)-1),#N/A)</f>
        <v>12</v>
      </c>
      <c r="AN267" s="27">
        <f t="shared" si="193"/>
        <v>0</v>
      </c>
      <c r="AO267" s="22">
        <f ca="1">IF(ISNA(IF(V267="",#N/A,V267)),OFFSET(Tab.Insulation.Default!$A$1,$AL267-1,MATCH(AO$87&amp;"_"&amp;$K267,Tab.Insulation.Default!$1:$1,0)-1),#N/A)</f>
        <v>0.04</v>
      </c>
      <c r="AP267" s="23">
        <f t="shared" ca="1" si="194"/>
        <v>0.04</v>
      </c>
      <c r="AQ267" s="29" t="str">
        <f t="shared" si="247"/>
        <v>Gen.Refurbished.09</v>
      </c>
      <c r="AR267" s="17">
        <f>MATCH(AR$88&amp;"."&amp;AQ267,Tab.Measure.f.Default!$A:$A,0)</f>
        <v>20</v>
      </c>
      <c r="AS267" s="21">
        <f ca="1">OFFSET(Tab.Measure.f.Default!$A$1,AR267-1,MATCH(AS$87&amp;"_"&amp;$K267,Tab.Measure.f.Default!$1:$1,0)-1)</f>
        <v>0.9</v>
      </c>
      <c r="AT267" s="29" t="str">
        <f t="shared" si="248"/>
        <v>MUH.NA.09</v>
      </c>
      <c r="AU267" s="17">
        <f>MATCH(AU$88&amp;"."&amp;AT267,Tab.Measure.f.Default!$A:$A,0)</f>
        <v>44</v>
      </c>
      <c r="AV267" s="21">
        <f ca="1">OFFSET(Tab.Measure.f.Default!$A$1,AU267-1,MATCH(AV$87&amp;"_"&amp;$J267,Tab.Measure.f.Default!$1:$1,0)-1)</f>
        <v>0.04</v>
      </c>
      <c r="AW267" s="30">
        <f t="shared" si="195"/>
        <v>0</v>
      </c>
      <c r="AX267" s="9">
        <f t="shared" ca="1" si="249"/>
        <v>4</v>
      </c>
      <c r="AY267" s="9">
        <f t="shared" si="250"/>
        <v>0</v>
      </c>
      <c r="AZ267" s="9">
        <f t="shared" ca="1" si="275"/>
        <v>4</v>
      </c>
      <c r="BA267" s="9">
        <f t="shared" ca="1" si="276"/>
        <v>0.25</v>
      </c>
      <c r="BB267" s="9">
        <f t="shared" ca="1" si="251"/>
        <v>0.25</v>
      </c>
      <c r="BC267" s="32" t="str">
        <f t="shared" si="252"/>
        <v>B</v>
      </c>
      <c r="BD267" s="20" t="str">
        <f ca="1">OFFSET(Tab.Uncertainty.Levels!$A$1,MATCH(BD$88,Tab.Uncertainty.Levels!$A:$A,0)-1,MATCH(BD$87&amp;"_"&amp;BC267,Tab.Uncertainty.Levels!$1:$1,0)-1)</f>
        <v>Use of default values; building constructed from 1995</v>
      </c>
      <c r="BE267" s="24">
        <f ca="1">OFFSET(Tab.Uncertainty.Levels!$A$1,MATCH(BE$88,Tab.Uncertainty.Levels!$A:$A,0)-1,MATCH(BE$87&amp;"_"&amp;BC267,Tab.Uncertainty.Levels!$1:$1,0)-1)</f>
        <v>0.2</v>
      </c>
      <c r="BF267" s="32" t="str">
        <f t="shared" si="253"/>
        <v>-</v>
      </c>
      <c r="BG267" s="20" t="e">
        <f ca="1">OFFSET(Tab.Uncertainty.Levels!$A$1,MATCH(BG$88,Tab.Uncertainty.Levels!$A:$A,0)-1,MATCH(BG$87&amp;"_"&amp;BF267,Tab.Uncertainty.Levels!$1:$1,0)-1)</f>
        <v>#N/A</v>
      </c>
      <c r="BH267" s="24" t="e">
        <f ca="1">OFFSET(Tab.Uncertainty.Levels!$A$1,MATCH(BH$88,Tab.Uncertainty.Levels!$A:$A,0)-1,MATCH(BH$87&amp;"_"&amp;BF267,Tab.Uncertainty.Levels!$1:$1,0)-1)</f>
        <v>#N/A</v>
      </c>
      <c r="BI267" s="32" t="str">
        <f t="shared" si="224"/>
        <v>B</v>
      </c>
      <c r="BJ267" s="13">
        <f t="shared" ca="1" si="277"/>
        <v>0.2</v>
      </c>
      <c r="BK267" s="32" t="str">
        <f>IF(OR($L267="NoDataSource",IFERROR(IF($S267="",#N/A,$S267),0)=0),IF(IFERROR(IF(U267="",#N/A,U267),0)=0,"E","D"),IF($L267="DesignDataPlusQA","A",IF($L267="DesignData","B","C")))</f>
        <v>E</v>
      </c>
      <c r="BL267" s="20" t="str">
        <f ca="1">OFFSET(Tab.Uncertainty.Levels!$A$1,MATCH(BL$88,Tab.Uncertainty.Levels!$A:$A,0)-1,MATCH(BL$87&amp;"_"&amp;BK267,Tab.Uncertainty.Levels!$1:$1,0)-1)</f>
        <v>Insulation available; insulation thickness and year of implementation unknown</v>
      </c>
      <c r="BM267" s="24">
        <f ca="1">OFFSET(Tab.Uncertainty.Levels!$A$1,MATCH(BM$88,Tab.Uncertainty.Levels!$A:$A,0)-1,MATCH(BM$87&amp;"_"&amp;BK267,Tab.Uncertainty.Levels!$1:$1,0)-1)</f>
        <v>0.5</v>
      </c>
      <c r="BN267" s="34">
        <f ca="1">OFFSET(Tab.Uncertainty.Levels!$A$1,MATCH(BN$88,Tab.Uncertainty.Levels!$A:$A,0)-1,MATCH(BN$87&amp;"_"&amp;BK267,Tab.Uncertainty.Levels!$1:$1,0)-1)</f>
        <v>8</v>
      </c>
      <c r="BO267" s="13">
        <f ca="1">IFERROR(MIN(BM267,BN267/AN267),0)</f>
        <v>0</v>
      </c>
      <c r="BP267" s="32" t="str">
        <f>IF(OR($L267="NoDataSource",IFERROR(IF($V267="",#N/A,$V267),0)=0),IF(IFERROR(IF(U267="",#N/A,U267),0)=0,"E","D"),IF($L267="DesignDataPlusQA","A",IF($L267="DesignData","B","C")))</f>
        <v>E</v>
      </c>
      <c r="BQ267" s="20" t="str">
        <f ca="1">OFFSET(Tab.Uncertainty.Levels!$A$1,MATCH(BQ$88,Tab.Uncertainty.Levels!$A:$A,0)-1,MATCH(BQ$87&amp;"_"&amp;BP267,Tab.Uncertainty.Levels!$1:$1,0)-1)</f>
        <v>Insulation available; no information about material and year of implementation</v>
      </c>
      <c r="BR267" s="97">
        <f ca="1">OFFSET(Tab.Uncertainty.Levels!$A$1,MATCH(BR$88,Tab.Uncertainty.Levels!$A:$A,0)-1,MATCH(BR$87&amp;"_"&amp;BP267,Tab.Uncertainty.Levels!$1:$1,0)-1)</f>
        <v>0.3</v>
      </c>
      <c r="BS267" s="32" t="str">
        <f>IF(L267="NoDataSource","D",IF(IFERROR(IF($T267="",#N/A,$T267),0)=0,IF(OR(IFERROR(IF($S267="",#N/A,$S267),0)&gt;0,$R267="Refurbish"),"D","E"),IF($L267="DesignDataPlusQA","A",IF($L267="DesignData","B","C"))))</f>
        <v>E</v>
      </c>
      <c r="BT267" s="20" t="str">
        <f ca="1">OFFSET(Tab.Uncertainty.Levels!$A$1,MATCH(BT$88,Tab.Uncertainty.Levels!$A:$A,0)-1,MATCH(BT$87&amp;"_"&amp;BS267,Tab.Uncertainty.Levels!$1:$1,0)-1)</f>
        <v>Unknown if insulation has been applied (default fraction value is the average insulation fraction for all buildings)</v>
      </c>
      <c r="BU267" s="33">
        <f ca="1">OFFSET(Tab.Uncertainty.Levels!$A$1,MATCH(BU$88,Tab.Uncertainty.Levels!$A:$A,0)-1,MATCH(BU$87&amp;"_"&amp;BS267,Tab.Uncertainty.Levels!$1:$1,0)-1)</f>
        <v>0.5</v>
      </c>
      <c r="BV267" s="13">
        <f ca="1">IFERROR(MIN(BU267/AW267,1,(1-AW267)/AW267),0)</f>
        <v>0</v>
      </c>
      <c r="BW267" s="96">
        <f ca="1">ABS(1+(AW267*(1/(1+AN267/100/AP267*AG267)^2-1)))*BJ267*$AG267</f>
        <v>0.05</v>
      </c>
      <c r="BX267" s="96">
        <f ca="1">ABS(-AG267+1/(1/AG267+AN267/100/AP267))*BV267*AW267</f>
        <v>0</v>
      </c>
      <c r="BY267" s="96">
        <f ca="1">ABS(-AW267*AP267/((AP267/AG267+AN267/100)^2))*(BO267*AN267/100)</f>
        <v>0</v>
      </c>
      <c r="BZ267" s="202">
        <f ca="1">ABS(AW267*AN267/100/(1/AG267*AP267+AN267/100)^2)*(BR267*AP267)</f>
        <v>0</v>
      </c>
      <c r="CA267" s="103">
        <f t="shared" ca="1" si="198"/>
        <v>0.05</v>
      </c>
      <c r="CB267" s="37">
        <f t="shared" ca="1" si="254"/>
        <v>0.2</v>
      </c>
      <c r="CC267" s="37">
        <f t="shared" ca="1" si="255"/>
        <v>0</v>
      </c>
      <c r="CD267" s="37">
        <f t="shared" ca="1" si="256"/>
        <v>0</v>
      </c>
      <c r="CE267" s="37">
        <f t="shared" ca="1" si="257"/>
        <v>0</v>
      </c>
      <c r="CF267" s="13">
        <f t="shared" ca="1" si="258"/>
        <v>0.2</v>
      </c>
      <c r="CG267" s="101">
        <f ca="1">AG267</f>
        <v>0.25</v>
      </c>
      <c r="CH267" s="101">
        <f>AW267</f>
        <v>0</v>
      </c>
      <c r="CI267" s="203">
        <f>IF(CH267&gt;0,AN267,0)</f>
        <v>0</v>
      </c>
      <c r="CJ267" s="102">
        <f>IF(AND(CH267&gt;0,CI267&gt;0),AP267,0)</f>
        <v>0</v>
      </c>
      <c r="CK267" s="102">
        <f ca="1">BB267</f>
        <v>0.25</v>
      </c>
      <c r="CL267" s="37">
        <f t="shared" ca="1" si="264"/>
        <v>0.2</v>
      </c>
      <c r="CM267" s="37">
        <f t="shared" ca="1" si="265"/>
        <v>0</v>
      </c>
      <c r="CN267" s="37">
        <f t="shared" ca="1" si="266"/>
        <v>0</v>
      </c>
      <c r="CO267" s="37">
        <f t="shared" ca="1" si="267"/>
        <v>0.3</v>
      </c>
      <c r="CP267" s="37">
        <f t="shared" ca="1" si="268"/>
        <v>0.2</v>
      </c>
      <c r="CQ267" s="95">
        <f t="shared" ca="1" si="269"/>
        <v>0.05</v>
      </c>
      <c r="CR267" s="95">
        <f t="shared" ca="1" si="270"/>
        <v>0</v>
      </c>
      <c r="CS267" s="95">
        <f t="shared" ca="1" si="271"/>
        <v>0</v>
      </c>
      <c r="CT267" s="103">
        <f t="shared" ca="1" si="272"/>
        <v>0</v>
      </c>
      <c r="CU267" s="95">
        <f t="shared" ca="1" si="273"/>
        <v>0.05</v>
      </c>
      <c r="CV267" s="37">
        <f ca="1">$CB267^2/$CF267^2</f>
        <v>1</v>
      </c>
      <c r="CW267" s="37">
        <f ca="1">$CD267^2/$CF267^2</f>
        <v>0</v>
      </c>
      <c r="CX267" s="37">
        <f ca="1">$CE267^2/$CF267^2</f>
        <v>0</v>
      </c>
      <c r="CY267" s="37">
        <f ca="1">$CC267^2/$CF267^2</f>
        <v>0</v>
      </c>
      <c r="DA267" s="98" t="s">
        <v>214</v>
      </c>
      <c r="DB267" s="36">
        <f ca="1">OFFSET($A$1,ROW(DB267)-1,MATCH(DA267,$1:$1,0)-1)</f>
        <v>0</v>
      </c>
      <c r="DC267" s="9">
        <f ca="1">BB267</f>
        <v>0.25</v>
      </c>
      <c r="DD267" s="9">
        <f ca="1">$DC267+$CA267</f>
        <v>0.3</v>
      </c>
      <c r="DE267" s="9">
        <f ca="1">$DC267-$CA267</f>
        <v>0.2</v>
      </c>
      <c r="DF267" s="10">
        <f t="shared" ca="1" si="245"/>
        <v>0.19999999999999996</v>
      </c>
    </row>
    <row r="268" spans="1:110" s="8" customFormat="1" ht="32.4" customHeight="1">
      <c r="A268" s="206" t="s">
        <v>739</v>
      </c>
      <c r="B268" s="210" t="s">
        <v>2350</v>
      </c>
      <c r="C268" s="206" t="s">
        <v>1025</v>
      </c>
      <c r="D268" s="206"/>
      <c r="E268" s="206"/>
      <c r="F268" s="206"/>
      <c r="G268" s="206"/>
      <c r="H268" s="207"/>
      <c r="I268" s="156" t="s">
        <v>80</v>
      </c>
      <c r="J268" s="156" t="s">
        <v>1010</v>
      </c>
      <c r="K268" s="156" t="s">
        <v>1010</v>
      </c>
      <c r="L268" s="156" t="s">
        <v>190</v>
      </c>
      <c r="M268" s="156" t="s">
        <v>188</v>
      </c>
      <c r="N268" s="7">
        <v>1960</v>
      </c>
      <c r="O268" s="156" t="e">
        <v>#N/A</v>
      </c>
      <c r="P268" s="156" t="e">
        <v>#N/A</v>
      </c>
      <c r="Q268" s="156" t="s">
        <v>435</v>
      </c>
      <c r="R268" s="156" t="s">
        <v>58</v>
      </c>
      <c r="S268" s="19">
        <v>4</v>
      </c>
      <c r="T268" s="19">
        <v>1</v>
      </c>
      <c r="U268" s="19" t="e">
        <v>#N/A</v>
      </c>
      <c r="V268" s="19">
        <v>4.4999999999999998E-2</v>
      </c>
      <c r="W268" s="28" t="s">
        <v>59</v>
      </c>
      <c r="X268" s="19" t="e">
        <v>#N/A</v>
      </c>
      <c r="Y268" s="105">
        <f ca="1">IFERROR(OFFSET(Tab.Const.ConstrBorder!$A$1,MATCH(Q268,Tab.Const.ConstrBorder!$A:$A,0)-1,MATCH(Y$87,Tab.Const.ConstrBorder!$1:$1,0)-1),0)</f>
        <v>0</v>
      </c>
      <c r="Z268" s="18">
        <f t="shared" si="188"/>
        <v>1960</v>
      </c>
      <c r="AA268" s="17">
        <f>MATCH(Z268,Tab.Year.Period!$11:$11,1)-3</f>
        <v>5</v>
      </c>
      <c r="AB268" s="17">
        <f>MATCH(AB$88&amp;"."&amp;TEXT(AA268,"00"),Tab.U.Default!$A:$A,0)</f>
        <v>28</v>
      </c>
      <c r="AC268" s="105">
        <f ca="1">OFFSET(Tab.U.Default!$A$1,$AB268-1,MATCH("U_Class_"&amp;IF($J268="TopCeiling","UpperCeiling",$J268)&amp;"_"&amp;AC$87,Tab.U.Default!$1:$1,0)-1)</f>
        <v>1.1000000000000001</v>
      </c>
      <c r="AD268" s="105">
        <f ca="1">OFFSET(Tab.U.Default!$A$1,$AB268-1,MATCH("U_Class_"&amp;IF($J268="TopCeiling","UpperCeiling",$J268)&amp;"_"&amp;AD$87,Tab.U.Default!$1:$1,0)-1)</f>
        <v>1.3</v>
      </c>
      <c r="AE268" s="105">
        <f ca="1">OFFSET(Tab.U.Default!$A$1,$AB268-1,MATCH("U_Class_"&amp;IF($J268="TopCeiling","UpperCeiling",$J268)&amp;"_"&amp;AE$87,Tab.U.Default!$1:$1,0)-1)</f>
        <v>0.8</v>
      </c>
      <c r="AF268" s="26">
        <f t="shared" ca="1" si="189"/>
        <v>1.1000000000000001</v>
      </c>
      <c r="AG268" s="26">
        <f t="shared" ca="1" si="259"/>
        <v>1.1000000000000001</v>
      </c>
      <c r="AH268" s="18" t="str">
        <f t="shared" si="246"/>
        <v>Refurbish</v>
      </c>
      <c r="AI268" s="18" t="str">
        <f t="shared" si="274"/>
        <v>Add</v>
      </c>
      <c r="AJ268" s="18">
        <f t="shared" si="192"/>
        <v>1995</v>
      </c>
      <c r="AK268" s="17">
        <f>MATCH(AJ268,Tab.Year.Period!$11:$11,1)-3</f>
        <v>9</v>
      </c>
      <c r="AL268" s="17">
        <f>MATCH(AL$88&amp;"."&amp;TEXT(AK268,"00"),Tab.Insulation.Default!$A:$A,0)</f>
        <v>20</v>
      </c>
      <c r="AM268" s="20" t="e">
        <f ca="1">IF(ISNA(IF(S268="",#N/A,S268)),OFFSET(Tab.Insulation.Default!$A$1,$AL268-1,MATCH(AM$87&amp;"_"&amp;$K268,Tab.Insulation.Default!$1:$1,0)-1),#N/A)</f>
        <v>#N/A</v>
      </c>
      <c r="AN268" s="27">
        <f t="shared" si="193"/>
        <v>4</v>
      </c>
      <c r="AO268" s="22" t="e">
        <f ca="1">IF(ISNA(IF(V268="",#N/A,V268)),OFFSET(Tab.Insulation.Default!$A$1,$AL268-1,MATCH(AO$87&amp;"_"&amp;$K268,Tab.Insulation.Default!$1:$1,0)-1),#N/A)</f>
        <v>#N/A</v>
      </c>
      <c r="AP268" s="23">
        <f t="shared" si="194"/>
        <v>4.4999999999999998E-2</v>
      </c>
      <c r="AQ268" s="29" t="str">
        <f t="shared" si="247"/>
        <v>Gen.Refurbished.09</v>
      </c>
      <c r="AR268" s="17">
        <f>MATCH(AR$88&amp;"."&amp;AQ268,Tab.Measure.f.Default!$A:$A,0)</f>
        <v>20</v>
      </c>
      <c r="AS268" s="21">
        <f ca="1">OFFSET(Tab.Measure.f.Default!$A$1,AR268-1,MATCH(AS$87&amp;"_"&amp;$K268,Tab.Measure.f.Default!$1:$1,0)-1)</f>
        <v>0.9</v>
      </c>
      <c r="AT268" s="29" t="str">
        <f t="shared" si="248"/>
        <v>MUH.NA.05</v>
      </c>
      <c r="AU268" s="17">
        <f>MATCH(AU$88&amp;"."&amp;AT268,Tab.Measure.f.Default!$A:$A,0)</f>
        <v>40</v>
      </c>
      <c r="AV268" s="21">
        <f ca="1">OFFSET(Tab.Measure.f.Default!$A$1,AU268-1,MATCH(AV$87&amp;"_"&amp;$J268,Tab.Measure.f.Default!$1:$1,0)-1)</f>
        <v>0.62</v>
      </c>
      <c r="AW268" s="30">
        <f t="shared" si="195"/>
        <v>1</v>
      </c>
      <c r="AX268" s="9">
        <f t="shared" ca="1" si="249"/>
        <v>0.90909090909090906</v>
      </c>
      <c r="AY268" s="9">
        <f t="shared" si="250"/>
        <v>0.88888888888888895</v>
      </c>
      <c r="AZ268" s="9">
        <f t="shared" ca="1" si="275"/>
        <v>1.797979797979798</v>
      </c>
      <c r="BA268" s="9">
        <f t="shared" ca="1" si="276"/>
        <v>0.5561797752808989</v>
      </c>
      <c r="BB268" s="9">
        <f t="shared" ca="1" si="251"/>
        <v>0.5561797752808989</v>
      </c>
      <c r="BC268" s="32" t="str">
        <f t="shared" si="252"/>
        <v>D</v>
      </c>
      <c r="BD268" s="20" t="str">
        <f ca="1">OFFSET(Tab.Uncertainty.Levels!$A$1,MATCH(BD$88,Tab.Uncertainty.Levels!$A:$A,0)-1,MATCH(BD$87&amp;"_"&amp;BC268,Tab.Uncertainty.Levels!$1:$1,0)-1)</f>
        <v>Use of default values; building constructed until 1983</v>
      </c>
      <c r="BE268" s="24">
        <f ca="1">OFFSET(Tab.Uncertainty.Levels!$A$1,MATCH(BE$88,Tab.Uncertainty.Levels!$A:$A,0)-1,MATCH(BE$87&amp;"_"&amp;BC268,Tab.Uncertainty.Levels!$1:$1,0)-1)</f>
        <v>0.3</v>
      </c>
      <c r="BF268" s="32" t="str">
        <f t="shared" si="253"/>
        <v>-</v>
      </c>
      <c r="BG268" s="20" t="e">
        <f ca="1">OFFSET(Tab.Uncertainty.Levels!$A$1,MATCH(BG$88,Tab.Uncertainty.Levels!$A:$A,0)-1,MATCH(BG$87&amp;"_"&amp;BF268,Tab.Uncertainty.Levels!$1:$1,0)-1)</f>
        <v>#N/A</v>
      </c>
      <c r="BH268" s="24" t="e">
        <f ca="1">OFFSET(Tab.Uncertainty.Levels!$A$1,MATCH(BH$88,Tab.Uncertainty.Levels!$A:$A,0)-1,MATCH(BH$87&amp;"_"&amp;BF268,Tab.Uncertainty.Levels!$1:$1,0)-1)</f>
        <v>#N/A</v>
      </c>
      <c r="BI268" s="32" t="str">
        <f t="shared" si="224"/>
        <v>D</v>
      </c>
      <c r="BJ268" s="13">
        <f t="shared" ca="1" si="277"/>
        <v>0.3</v>
      </c>
      <c r="BK268" s="32" t="str">
        <f>IF(OR($L268="NoDataSource",IFERROR(IF($S268="",#N/A,$S268),0)=0),IF(IFERROR(IF(U268="",#N/A,U268),0)=0,"E","D"),IF($L268="DesignDataPlusQA","A",IF($L268="DesignData","B","C")))</f>
        <v>C</v>
      </c>
      <c r="BL268" s="20" t="str">
        <f ca="1">OFFSET(Tab.Uncertainty.Levels!$A$1,MATCH(BL$88,Tab.Uncertainty.Levels!$A:$A,0)-1,MATCH(BL$87&amp;"_"&amp;BK268,Tab.Uncertainty.Levels!$1:$1,0)-1)</f>
        <v>Insulation thickness determined by inspection onsite / record or statement of owner</v>
      </c>
      <c r="BM268" s="24">
        <f ca="1">OFFSET(Tab.Uncertainty.Levels!$A$1,MATCH(BM$88,Tab.Uncertainty.Levels!$A:$A,0)-1,MATCH(BM$87&amp;"_"&amp;BK268,Tab.Uncertainty.Levels!$1:$1,0)-1)</f>
        <v>0.25</v>
      </c>
      <c r="BN268" s="34">
        <f ca="1">OFFSET(Tab.Uncertainty.Levels!$A$1,MATCH(BN$88,Tab.Uncertainty.Levels!$A:$A,0)-1,MATCH(BN$87&amp;"_"&amp;BK268,Tab.Uncertainty.Levels!$1:$1,0)-1)</f>
        <v>2</v>
      </c>
      <c r="BO268" s="13">
        <f ca="1">IFERROR(MIN(BM268,BN268/AN268),0)</f>
        <v>0.25</v>
      </c>
      <c r="BP268" s="32" t="str">
        <f>IF(OR($L268="NoDataSource",IFERROR(IF($V268="",#N/A,$V268),0)=0),IF(IFERROR(IF(U268="",#N/A,U268),0)=0,"E","D"),IF($L268="DesignDataPlusQA","A",IF($L268="DesignData","B","C")))</f>
        <v>C</v>
      </c>
      <c r="BQ268" s="20" t="str">
        <f ca="1">OFFSET(Tab.Uncertainty.Levels!$A$1,MATCH(BQ$88,Tab.Uncertainty.Levels!$A:$A,0)-1,MATCH(BQ$87&amp;"_"&amp;BP268,Tab.Uncertainty.Levels!$1:$1,0)-1)</f>
        <v>Thermal conductivity of Insulation determined by inspection onsite / record or statement of owner</v>
      </c>
      <c r="BR268" s="97">
        <f ca="1">OFFSET(Tab.Uncertainty.Levels!$A$1,MATCH(BR$88,Tab.Uncertainty.Levels!$A:$A,0)-1,MATCH(BR$87&amp;"_"&amp;BP268,Tab.Uncertainty.Levels!$1:$1,0)-1)</f>
        <v>0.15</v>
      </c>
      <c r="BS268" s="32" t="str">
        <f>IF(L268="NoDataSource","D",IF(IFERROR(IF($T268="",#N/A,$T268),0)=0,IF(OR(IFERROR(IF($S268="",#N/A,$S268),0)&gt;0,$R268="Refurbish"),"D","E"),IF($L268="DesignDataPlusQA","A",IF($L268="DesignData","B","C"))))</f>
        <v>C</v>
      </c>
      <c r="BT268" s="20" t="str">
        <f ca="1">OFFSET(Tab.Uncertainty.Levels!$A$1,MATCH(BT$88,Tab.Uncertainty.Levels!$A:$A,0)-1,MATCH(BT$87&amp;"_"&amp;BS268,Tab.Uncertainty.Levels!$1:$1,0)-1)</f>
        <v>Insulation fraction determined by inspection onsite / record or statement of owner</v>
      </c>
      <c r="BU268" s="33">
        <f ca="1">OFFSET(Tab.Uncertainty.Levels!$A$1,MATCH(BU$88,Tab.Uncertainty.Levels!$A:$A,0)-1,MATCH(BU$87&amp;"_"&amp;BS268,Tab.Uncertainty.Levels!$1:$1,0)-1)</f>
        <v>0.2</v>
      </c>
      <c r="BV268" s="13">
        <f ca="1">IFERROR(MIN(BU268/AW268,1,(1-AW268)/AW268),0)</f>
        <v>0</v>
      </c>
      <c r="BW268" s="96">
        <f ca="1">ABS(1+(AW268*(1/(1+AN268/100/AP268*AG268)^2-1)))*BJ268*$AG268</f>
        <v>8.4364347935866668E-2</v>
      </c>
      <c r="BX268" s="96">
        <f ca="1">ABS(-AG268+1/(1/AG268+AN268/100/AP268))*BV268*AW268</f>
        <v>0</v>
      </c>
      <c r="BY268" s="96">
        <f ca="1">ABS(-AW268*AP268/((AP268/AG268+AN268/100)^2))*(BO268*AN268/100)</f>
        <v>6.8741320540335826E-2</v>
      </c>
      <c r="BZ268" s="202">
        <f ca="1">ABS(AW268*AN268/100/(1/AG268*AP268+AN268/100)^2)*(BR268*AP268)</f>
        <v>4.1244792324201501E-2</v>
      </c>
      <c r="CA268" s="103">
        <f t="shared" ca="1" si="198"/>
        <v>0.11637802733394169</v>
      </c>
      <c r="CB268" s="37">
        <f t="shared" ca="1" si="254"/>
        <v>0.15168539325842692</v>
      </c>
      <c r="CC268" s="37">
        <f t="shared" ca="1" si="255"/>
        <v>0</v>
      </c>
      <c r="CD268" s="37">
        <f t="shared" ca="1" si="256"/>
        <v>0.12359550561797754</v>
      </c>
      <c r="CE268" s="37">
        <f t="shared" ca="1" si="257"/>
        <v>7.4157303370786534E-2</v>
      </c>
      <c r="CF268" s="13">
        <f t="shared" ca="1" si="258"/>
        <v>0.20924534207516787</v>
      </c>
      <c r="CG268" s="101">
        <f ca="1">AG268</f>
        <v>1.1000000000000001</v>
      </c>
      <c r="CH268" s="101">
        <f>AW268</f>
        <v>1</v>
      </c>
      <c r="CI268" s="203">
        <f>IF(CH268&gt;0,AN268,0)</f>
        <v>4</v>
      </c>
      <c r="CJ268" s="102">
        <f>IF(AND(CH268&gt;0,CI268&gt;0),AP268,0)</f>
        <v>4.4999999999999998E-2</v>
      </c>
      <c r="CK268" s="102">
        <f ca="1">BB268</f>
        <v>0.5561797752808989</v>
      </c>
      <c r="CL268" s="37">
        <f t="shared" ca="1" si="264"/>
        <v>0.3</v>
      </c>
      <c r="CM268" s="37">
        <f t="shared" ca="1" si="265"/>
        <v>0</v>
      </c>
      <c r="CN268" s="37">
        <f t="shared" ca="1" si="266"/>
        <v>0.25</v>
      </c>
      <c r="CO268" s="37">
        <f t="shared" ca="1" si="267"/>
        <v>0.15</v>
      </c>
      <c r="CP268" s="37">
        <f t="shared" ca="1" si="268"/>
        <v>0.20924534207516787</v>
      </c>
      <c r="CQ268" s="95">
        <f t="shared" ca="1" si="269"/>
        <v>0.33</v>
      </c>
      <c r="CR268" s="95">
        <f t="shared" ca="1" si="270"/>
        <v>0</v>
      </c>
      <c r="CS268" s="95">
        <f t="shared" ca="1" si="271"/>
        <v>1</v>
      </c>
      <c r="CT268" s="103">
        <f t="shared" ca="1" si="272"/>
        <v>6.7499999999999999E-3</v>
      </c>
      <c r="CU268" s="95">
        <f t="shared" ca="1" si="273"/>
        <v>0.11637802733394169</v>
      </c>
      <c r="CV268" s="37">
        <f ca="1">$CB268^2/$CF268^2</f>
        <v>0.52550387820420374</v>
      </c>
      <c r="CW268" s="37">
        <f ca="1">$CD268^2/$CF268^2</f>
        <v>0.34889420720279124</v>
      </c>
      <c r="CX268" s="37">
        <f ca="1">$CE268^2/$CF268^2</f>
        <v>0.1256019145930049</v>
      </c>
      <c r="CY268" s="37">
        <f ca="1">$CC268^2/$CF268^2</f>
        <v>0</v>
      </c>
      <c r="DA268" s="98" t="s">
        <v>214</v>
      </c>
      <c r="DB268" s="36">
        <f ca="1">OFFSET($A$1,ROW(DB268)-1,MATCH(DA268,$1:$1,0)-1)</f>
        <v>4</v>
      </c>
      <c r="DC268" s="9">
        <f ca="1">BB268</f>
        <v>0.5561797752808989</v>
      </c>
      <c r="DD268" s="9">
        <f ca="1">$DC268+$CA268</f>
        <v>0.67255780261484055</v>
      </c>
      <c r="DE268" s="9">
        <f ca="1">$DC268-$CA268</f>
        <v>0.4398017479469572</v>
      </c>
      <c r="DF268" s="10">
        <f t="shared" ca="1" si="245"/>
        <v>0.20924534207516785</v>
      </c>
    </row>
    <row r="269" spans="1:110" s="8" customFormat="1" ht="32.4" customHeight="1">
      <c r="A269" s="206" t="s">
        <v>740</v>
      </c>
      <c r="B269" s="210" t="s">
        <v>2350</v>
      </c>
      <c r="C269" s="206" t="s">
        <v>1026</v>
      </c>
      <c r="D269" s="206"/>
      <c r="E269" s="206"/>
      <c r="F269" s="206"/>
      <c r="G269" s="206"/>
      <c r="H269" s="207"/>
      <c r="I269" s="156" t="s">
        <v>80</v>
      </c>
      <c r="J269" s="156" t="s">
        <v>1010</v>
      </c>
      <c r="K269" s="156" t="s">
        <v>1010</v>
      </c>
      <c r="L269" s="156" t="s">
        <v>190</v>
      </c>
      <c r="M269" s="156" t="s">
        <v>188</v>
      </c>
      <c r="N269" s="7">
        <v>1960</v>
      </c>
      <c r="O269" s="156" t="e">
        <v>#N/A</v>
      </c>
      <c r="P269" s="156" t="e">
        <v>#N/A</v>
      </c>
      <c r="Q269" s="156" t="s">
        <v>435</v>
      </c>
      <c r="R269" s="156" t="s">
        <v>58</v>
      </c>
      <c r="S269" s="19">
        <v>16</v>
      </c>
      <c r="T269" s="19">
        <v>1</v>
      </c>
      <c r="U269" s="19" t="e">
        <v>#N/A</v>
      </c>
      <c r="V269" s="19">
        <v>3.5000000000000003E-2</v>
      </c>
      <c r="W269" s="28" t="s">
        <v>59</v>
      </c>
      <c r="X269" s="19" t="e">
        <v>#N/A</v>
      </c>
      <c r="Y269" s="105">
        <f ca="1">IFERROR(OFFSET(Tab.Const.ConstrBorder!$A$1,MATCH(Q269,Tab.Const.ConstrBorder!$A:$A,0)-1,MATCH(Y$87,Tab.Const.ConstrBorder!$1:$1,0)-1),0)</f>
        <v>0</v>
      </c>
      <c r="Z269" s="18">
        <f t="shared" si="188"/>
        <v>1960</v>
      </c>
      <c r="AA269" s="17">
        <f>MATCH(Z269,Tab.Year.Period!$11:$11,1)-3</f>
        <v>5</v>
      </c>
      <c r="AB269" s="17">
        <f>MATCH(AB$88&amp;"."&amp;TEXT(AA269,"00"),Tab.U.Default!$A:$A,0)</f>
        <v>28</v>
      </c>
      <c r="AC269" s="105">
        <f ca="1">OFFSET(Tab.U.Default!$A$1,$AB269-1,MATCH("U_Class_"&amp;IF($J269="TopCeiling","UpperCeiling",$J269)&amp;"_"&amp;AC$87,Tab.U.Default!$1:$1,0)-1)</f>
        <v>1.1000000000000001</v>
      </c>
      <c r="AD269" s="105">
        <f ca="1">OFFSET(Tab.U.Default!$A$1,$AB269-1,MATCH("U_Class_"&amp;IF($J269="TopCeiling","UpperCeiling",$J269)&amp;"_"&amp;AD$87,Tab.U.Default!$1:$1,0)-1)</f>
        <v>1.3</v>
      </c>
      <c r="AE269" s="105">
        <f ca="1">OFFSET(Tab.U.Default!$A$1,$AB269-1,MATCH("U_Class_"&amp;IF($J269="TopCeiling","UpperCeiling",$J269)&amp;"_"&amp;AE$87,Tab.U.Default!$1:$1,0)-1)</f>
        <v>0.8</v>
      </c>
      <c r="AF269" s="26">
        <f t="shared" ca="1" si="189"/>
        <v>1.1000000000000001</v>
      </c>
      <c r="AG269" s="26">
        <f t="shared" ca="1" si="259"/>
        <v>1.1000000000000001</v>
      </c>
      <c r="AH269" s="18" t="str">
        <f t="shared" si="246"/>
        <v>Refurbish</v>
      </c>
      <c r="AI269" s="18" t="str">
        <f t="shared" si="274"/>
        <v>Add</v>
      </c>
      <c r="AJ269" s="18">
        <f t="shared" si="192"/>
        <v>1995</v>
      </c>
      <c r="AK269" s="17">
        <f>MATCH(AJ269,Tab.Year.Period!$11:$11,1)-3</f>
        <v>9</v>
      </c>
      <c r="AL269" s="17">
        <f>MATCH(AL$88&amp;"."&amp;TEXT(AK269,"00"),Tab.Insulation.Default!$A:$A,0)</f>
        <v>20</v>
      </c>
      <c r="AM269" s="20" t="e">
        <f ca="1">IF(ISNA(IF(S269="",#N/A,S269)),OFFSET(Tab.Insulation.Default!$A$1,$AL269-1,MATCH(AM$87&amp;"_"&amp;$K269,Tab.Insulation.Default!$1:$1,0)-1),#N/A)</f>
        <v>#N/A</v>
      </c>
      <c r="AN269" s="27">
        <f t="shared" si="193"/>
        <v>16</v>
      </c>
      <c r="AO269" s="22" t="e">
        <f ca="1">IF(ISNA(IF(V269="",#N/A,V269)),OFFSET(Tab.Insulation.Default!$A$1,$AL269-1,MATCH(AO$87&amp;"_"&amp;$K269,Tab.Insulation.Default!$1:$1,0)-1),#N/A)</f>
        <v>#N/A</v>
      </c>
      <c r="AP269" s="23">
        <f t="shared" si="194"/>
        <v>3.5000000000000003E-2</v>
      </c>
      <c r="AQ269" s="29" t="str">
        <f t="shared" si="247"/>
        <v>Gen.Refurbished.09</v>
      </c>
      <c r="AR269" s="17">
        <f>MATCH(AR$88&amp;"."&amp;AQ269,Tab.Measure.f.Default!$A:$A,0)</f>
        <v>20</v>
      </c>
      <c r="AS269" s="21">
        <f ca="1">OFFSET(Tab.Measure.f.Default!$A$1,AR269-1,MATCH(AS$87&amp;"_"&amp;$K269,Tab.Measure.f.Default!$1:$1,0)-1)</f>
        <v>0.9</v>
      </c>
      <c r="AT269" s="29" t="str">
        <f t="shared" si="248"/>
        <v>MUH.NA.05</v>
      </c>
      <c r="AU269" s="17">
        <f>MATCH(AU$88&amp;"."&amp;AT269,Tab.Measure.f.Default!$A:$A,0)</f>
        <v>40</v>
      </c>
      <c r="AV269" s="21">
        <f ca="1">OFFSET(Tab.Measure.f.Default!$A$1,AU269-1,MATCH(AV$87&amp;"_"&amp;$J269,Tab.Measure.f.Default!$1:$1,0)-1)</f>
        <v>0.62</v>
      </c>
      <c r="AW269" s="30">
        <f t="shared" si="195"/>
        <v>1</v>
      </c>
      <c r="AX269" s="9">
        <f t="shared" ca="1" si="249"/>
        <v>0.90909090909090906</v>
      </c>
      <c r="AY269" s="9">
        <f t="shared" si="250"/>
        <v>4.5714285714285712</v>
      </c>
      <c r="AZ269" s="9">
        <f t="shared" ca="1" si="275"/>
        <v>5.4805194805194803</v>
      </c>
      <c r="BA269" s="9">
        <f t="shared" ca="1" si="276"/>
        <v>0.18246445497630331</v>
      </c>
      <c r="BB269" s="9">
        <f t="shared" ca="1" si="251"/>
        <v>0.18246445497630331</v>
      </c>
      <c r="BC269" s="32" t="str">
        <f t="shared" si="252"/>
        <v>D</v>
      </c>
      <c r="BD269" s="20" t="str">
        <f ca="1">OFFSET(Tab.Uncertainty.Levels!$A$1,MATCH(BD$88,Tab.Uncertainty.Levels!$A:$A,0)-1,MATCH(BD$87&amp;"_"&amp;BC269,Tab.Uncertainty.Levels!$1:$1,0)-1)</f>
        <v>Use of default values; building constructed until 1983</v>
      </c>
      <c r="BE269" s="24">
        <f ca="1">OFFSET(Tab.Uncertainty.Levels!$A$1,MATCH(BE$88,Tab.Uncertainty.Levels!$A:$A,0)-1,MATCH(BE$87&amp;"_"&amp;BC269,Tab.Uncertainty.Levels!$1:$1,0)-1)</f>
        <v>0.3</v>
      </c>
      <c r="BF269" s="32" t="str">
        <f t="shared" si="253"/>
        <v>-</v>
      </c>
      <c r="BG269" s="20" t="e">
        <f ca="1">OFFSET(Tab.Uncertainty.Levels!$A$1,MATCH(BG$88,Tab.Uncertainty.Levels!$A:$A,0)-1,MATCH(BG$87&amp;"_"&amp;BF269,Tab.Uncertainty.Levels!$1:$1,0)-1)</f>
        <v>#N/A</v>
      </c>
      <c r="BH269" s="24" t="e">
        <f ca="1">OFFSET(Tab.Uncertainty.Levels!$A$1,MATCH(BH$88,Tab.Uncertainty.Levels!$A:$A,0)-1,MATCH(BH$87&amp;"_"&amp;BF269,Tab.Uncertainty.Levels!$1:$1,0)-1)</f>
        <v>#N/A</v>
      </c>
      <c r="BI269" s="32" t="str">
        <f t="shared" si="224"/>
        <v>D</v>
      </c>
      <c r="BJ269" s="13">
        <f t="shared" ca="1" si="277"/>
        <v>0.3</v>
      </c>
      <c r="BK269" s="32" t="str">
        <f>IF(OR($L269="NoDataSource",IFERROR(IF($S269="",#N/A,$S269),0)=0),IF(IFERROR(IF(U269="",#N/A,U269),0)=0,"E","D"),IF($L269="DesignDataPlusQA","A",IF($L269="DesignData","B","C")))</f>
        <v>C</v>
      </c>
      <c r="BL269" s="20" t="str">
        <f ca="1">OFFSET(Tab.Uncertainty.Levels!$A$1,MATCH(BL$88,Tab.Uncertainty.Levels!$A:$A,0)-1,MATCH(BL$87&amp;"_"&amp;BK269,Tab.Uncertainty.Levels!$1:$1,0)-1)</f>
        <v>Insulation thickness determined by inspection onsite / record or statement of owner</v>
      </c>
      <c r="BM269" s="24">
        <f ca="1">OFFSET(Tab.Uncertainty.Levels!$A$1,MATCH(BM$88,Tab.Uncertainty.Levels!$A:$A,0)-1,MATCH(BM$87&amp;"_"&amp;BK269,Tab.Uncertainty.Levels!$1:$1,0)-1)</f>
        <v>0.25</v>
      </c>
      <c r="BN269" s="34">
        <f ca="1">OFFSET(Tab.Uncertainty.Levels!$A$1,MATCH(BN$88,Tab.Uncertainty.Levels!$A:$A,0)-1,MATCH(BN$87&amp;"_"&amp;BK269,Tab.Uncertainty.Levels!$1:$1,0)-1)</f>
        <v>2</v>
      </c>
      <c r="BO269" s="13">
        <f ca="1">IFERROR(MIN(BM269,BN269/AN269),0)</f>
        <v>0.125</v>
      </c>
      <c r="BP269" s="32" t="str">
        <f>IF(OR($L269="NoDataSource",IFERROR(IF($V269="",#N/A,$V269),0)=0),IF(IFERROR(IF(U269="",#N/A,U269),0)=0,"E","D"),IF($L269="DesignDataPlusQA","A",IF($L269="DesignData","B","C")))</f>
        <v>C</v>
      </c>
      <c r="BQ269" s="20" t="str">
        <f ca="1">OFFSET(Tab.Uncertainty.Levels!$A$1,MATCH(BQ$88,Tab.Uncertainty.Levels!$A:$A,0)-1,MATCH(BQ$87&amp;"_"&amp;BP269,Tab.Uncertainty.Levels!$1:$1,0)-1)</f>
        <v>Thermal conductivity of Insulation determined by inspection onsite / record or statement of owner</v>
      </c>
      <c r="BR269" s="97">
        <f ca="1">OFFSET(Tab.Uncertainty.Levels!$A$1,MATCH(BR$88,Tab.Uncertainty.Levels!$A:$A,0)-1,MATCH(BR$87&amp;"_"&amp;BP269,Tab.Uncertainty.Levels!$1:$1,0)-1)</f>
        <v>0.15</v>
      </c>
      <c r="BS269" s="32" t="str">
        <f>IF(L269="NoDataSource","D",IF(IFERROR(IF($T269="",#N/A,$T269),0)=0,IF(OR(IFERROR(IF($S269="",#N/A,$S269),0)&gt;0,$R269="Refurbish"),"D","E"),IF($L269="DesignDataPlusQA","A",IF($L269="DesignData","B","C"))))</f>
        <v>C</v>
      </c>
      <c r="BT269" s="20" t="str">
        <f ca="1">OFFSET(Tab.Uncertainty.Levels!$A$1,MATCH(BT$88,Tab.Uncertainty.Levels!$A:$A,0)-1,MATCH(BT$87&amp;"_"&amp;BS269,Tab.Uncertainty.Levels!$1:$1,0)-1)</f>
        <v>Insulation fraction determined by inspection onsite / record or statement of owner</v>
      </c>
      <c r="BU269" s="33">
        <f ca="1">OFFSET(Tab.Uncertainty.Levels!$A$1,MATCH(BU$88,Tab.Uncertainty.Levels!$A:$A,0)-1,MATCH(BU$87&amp;"_"&amp;BS269,Tab.Uncertainty.Levels!$1:$1,0)-1)</f>
        <v>0.2</v>
      </c>
      <c r="BV269" s="13">
        <f ca="1">IFERROR(MIN(BU269/AW269,1,(1-AW269)/AW269),0)</f>
        <v>0</v>
      </c>
      <c r="BW269" s="96">
        <f ca="1">ABS(1+(AW269*(1/(1+AN269/100/AP269*AG269)^2-1)))*BJ269*$AG269</f>
        <v>9.0799847263089463E-3</v>
      </c>
      <c r="BX269" s="96">
        <f ca="1">ABS(-AG269+1/(1/AG269+AN269/100/AP269))*BV269*AW269</f>
        <v>0</v>
      </c>
      <c r="BY269" s="96">
        <f ca="1">ABS(-AW269*AP269/((AP269/AG269+AN269/100)^2))*(BO269*AN269/100)</f>
        <v>1.9024729902742527E-2</v>
      </c>
      <c r="BZ269" s="202">
        <f ca="1">ABS(AW269*AN269/100/(1/AG269*AP269+AN269/100)^2)*(BR269*AP269)</f>
        <v>2.2829675883291031E-2</v>
      </c>
      <c r="CA269" s="103">
        <f t="shared" ca="1" si="198"/>
        <v>3.1073792356878963E-2</v>
      </c>
      <c r="CB269" s="37">
        <f t="shared" ca="1" si="254"/>
        <v>4.9763033175355527E-2</v>
      </c>
      <c r="CC269" s="37">
        <f t="shared" ca="1" si="255"/>
        <v>0</v>
      </c>
      <c r="CD269" s="37">
        <f t="shared" ca="1" si="256"/>
        <v>0.1042654028436019</v>
      </c>
      <c r="CE269" s="37">
        <f t="shared" ca="1" si="257"/>
        <v>0.12511848341232229</v>
      </c>
      <c r="CF269" s="13">
        <f t="shared" ca="1" si="258"/>
        <v>0.17030052434549253</v>
      </c>
      <c r="CG269" s="101">
        <f ca="1">AG269</f>
        <v>1.1000000000000001</v>
      </c>
      <c r="CH269" s="101">
        <f>AW269</f>
        <v>1</v>
      </c>
      <c r="CI269" s="203">
        <f>IF(CH269&gt;0,AN269,0)</f>
        <v>16</v>
      </c>
      <c r="CJ269" s="102">
        <f>IF(AND(CH269&gt;0,CI269&gt;0),AP269,0)</f>
        <v>3.5000000000000003E-2</v>
      </c>
      <c r="CK269" s="102">
        <f ca="1">BB269</f>
        <v>0.18246445497630331</v>
      </c>
      <c r="CL269" s="37">
        <f t="shared" ca="1" si="264"/>
        <v>0.3</v>
      </c>
      <c r="CM269" s="37">
        <f t="shared" ca="1" si="265"/>
        <v>0</v>
      </c>
      <c r="CN269" s="37">
        <f t="shared" ca="1" si="266"/>
        <v>0.125</v>
      </c>
      <c r="CO269" s="37">
        <f t="shared" ca="1" si="267"/>
        <v>0.15</v>
      </c>
      <c r="CP269" s="37">
        <f t="shared" ca="1" si="268"/>
        <v>0.17030052434549253</v>
      </c>
      <c r="CQ269" s="95">
        <f t="shared" ca="1" si="269"/>
        <v>0.33</v>
      </c>
      <c r="CR269" s="95">
        <f t="shared" ca="1" si="270"/>
        <v>0</v>
      </c>
      <c r="CS269" s="95">
        <f t="shared" ca="1" si="271"/>
        <v>2</v>
      </c>
      <c r="CT269" s="103">
        <f t="shared" ca="1" si="272"/>
        <v>5.2500000000000003E-3</v>
      </c>
      <c r="CU269" s="95">
        <f t="shared" ca="1" si="273"/>
        <v>3.107379235687897E-2</v>
      </c>
      <c r="CV269" s="37">
        <f ca="1">$CB269^2/$CF269^2</f>
        <v>8.5385026448060564E-2</v>
      </c>
      <c r="CW269" s="37">
        <f ca="1">$CD269^2/$CF269^2</f>
        <v>0.37484220227538489</v>
      </c>
      <c r="CX269" s="37">
        <f ca="1">$CE269^2/$CF269^2</f>
        <v>0.53977277127655443</v>
      </c>
      <c r="CY269" s="37">
        <f ca="1">$CC269^2/$CF269^2</f>
        <v>0</v>
      </c>
      <c r="DA269" s="98" t="s">
        <v>214</v>
      </c>
      <c r="DB269" s="36">
        <f ca="1">OFFSET($A$1,ROW(DB269)-1,MATCH(DA269,$1:$1,0)-1)</f>
        <v>16</v>
      </c>
      <c r="DC269" s="9">
        <f ca="1">BB269</f>
        <v>0.18246445497630331</v>
      </c>
      <c r="DD269" s="9">
        <f ca="1">$DC269+$CA269</f>
        <v>0.21353824733318227</v>
      </c>
      <c r="DE269" s="9">
        <f ca="1">$DC269-$CA269</f>
        <v>0.15139066261942435</v>
      </c>
      <c r="DF269" s="10">
        <f t="shared" ca="1" si="245"/>
        <v>0.17030052434549248</v>
      </c>
    </row>
    <row r="270" spans="1:110" s="8" customFormat="1" ht="32.4" customHeight="1">
      <c r="A270" s="206" t="s">
        <v>741</v>
      </c>
      <c r="B270" s="210" t="s">
        <v>2350</v>
      </c>
      <c r="C270" s="206" t="s">
        <v>1021</v>
      </c>
      <c r="D270" s="206"/>
      <c r="E270" s="206"/>
      <c r="F270" s="206"/>
      <c r="G270" s="206"/>
      <c r="H270" s="207"/>
      <c r="I270" s="156" t="s">
        <v>80</v>
      </c>
      <c r="J270" s="156" t="s">
        <v>1010</v>
      </c>
      <c r="K270" s="156" t="s">
        <v>1010</v>
      </c>
      <c r="L270" s="156" t="s">
        <v>67</v>
      </c>
      <c r="M270" s="156" t="s">
        <v>188</v>
      </c>
      <c r="N270" s="7">
        <v>1960</v>
      </c>
      <c r="O270" s="156" t="e">
        <v>#N/A</v>
      </c>
      <c r="P270" s="156" t="e">
        <v>#N/A</v>
      </c>
      <c r="Q270" s="156" t="s">
        <v>435</v>
      </c>
      <c r="R270" s="156" t="s">
        <v>58</v>
      </c>
      <c r="S270" s="19">
        <v>16</v>
      </c>
      <c r="T270" s="19">
        <v>1</v>
      </c>
      <c r="U270" s="19" t="e">
        <v>#N/A</v>
      </c>
      <c r="V270" s="19">
        <v>3.5000000000000003E-2</v>
      </c>
      <c r="W270" s="28" t="s">
        <v>59</v>
      </c>
      <c r="X270" s="19" t="e">
        <v>#N/A</v>
      </c>
      <c r="Y270" s="105">
        <f ca="1">IFERROR(OFFSET(Tab.Const.ConstrBorder!$A$1,MATCH(Q270,Tab.Const.ConstrBorder!$A:$A,0)-1,MATCH(Y$87,Tab.Const.ConstrBorder!$1:$1,0)-1),0)</f>
        <v>0</v>
      </c>
      <c r="Z270" s="18">
        <f t="shared" si="188"/>
        <v>1960</v>
      </c>
      <c r="AA270" s="17">
        <f>MATCH(Z270,Tab.Year.Period!$11:$11,1)-3</f>
        <v>5</v>
      </c>
      <c r="AB270" s="17">
        <f>MATCH(AB$88&amp;"."&amp;TEXT(AA270,"00"),Tab.U.Default!$A:$A,0)</f>
        <v>28</v>
      </c>
      <c r="AC270" s="105">
        <f ca="1">OFFSET(Tab.U.Default!$A$1,$AB270-1,MATCH("U_Class_"&amp;IF($J270="TopCeiling","UpperCeiling",$J270)&amp;"_"&amp;AC$87,Tab.U.Default!$1:$1,0)-1)</f>
        <v>1.1000000000000001</v>
      </c>
      <c r="AD270" s="105">
        <f ca="1">OFFSET(Tab.U.Default!$A$1,$AB270-1,MATCH("U_Class_"&amp;IF($J270="TopCeiling","UpperCeiling",$J270)&amp;"_"&amp;AD$87,Tab.U.Default!$1:$1,0)-1)</f>
        <v>1.3</v>
      </c>
      <c r="AE270" s="105">
        <f ca="1">OFFSET(Tab.U.Default!$A$1,$AB270-1,MATCH("U_Class_"&amp;IF($J270="TopCeiling","UpperCeiling",$J270)&amp;"_"&amp;AE$87,Tab.U.Default!$1:$1,0)-1)</f>
        <v>0.8</v>
      </c>
      <c r="AF270" s="26">
        <f t="shared" ca="1" si="189"/>
        <v>1.1000000000000001</v>
      </c>
      <c r="AG270" s="26">
        <f t="shared" ca="1" si="259"/>
        <v>1.1000000000000001</v>
      </c>
      <c r="AH270" s="18" t="str">
        <f t="shared" si="246"/>
        <v>Refurbish</v>
      </c>
      <c r="AI270" s="18" t="str">
        <f t="shared" si="274"/>
        <v>Add</v>
      </c>
      <c r="AJ270" s="18">
        <f t="shared" si="192"/>
        <v>1995</v>
      </c>
      <c r="AK270" s="17">
        <f>MATCH(AJ270,Tab.Year.Period!$11:$11,1)-3</f>
        <v>9</v>
      </c>
      <c r="AL270" s="17">
        <f>MATCH(AL$88&amp;"."&amp;TEXT(AK270,"00"),Tab.Insulation.Default!$A:$A,0)</f>
        <v>20</v>
      </c>
      <c r="AM270" s="20" t="e">
        <f ca="1">IF(ISNA(IF(S270="",#N/A,S270)),OFFSET(Tab.Insulation.Default!$A$1,$AL270-1,MATCH(AM$87&amp;"_"&amp;$K270,Tab.Insulation.Default!$1:$1,0)-1),#N/A)</f>
        <v>#N/A</v>
      </c>
      <c r="AN270" s="27">
        <f t="shared" si="193"/>
        <v>16</v>
      </c>
      <c r="AO270" s="22" t="e">
        <f ca="1">IF(ISNA(IF(V270="",#N/A,V270)),OFFSET(Tab.Insulation.Default!$A$1,$AL270-1,MATCH(AO$87&amp;"_"&amp;$K270,Tab.Insulation.Default!$1:$1,0)-1),#N/A)</f>
        <v>#N/A</v>
      </c>
      <c r="AP270" s="23">
        <f t="shared" si="194"/>
        <v>3.5000000000000003E-2</v>
      </c>
      <c r="AQ270" s="29" t="str">
        <f t="shared" si="247"/>
        <v>Gen.Refurbished.09</v>
      </c>
      <c r="AR270" s="17">
        <f>MATCH(AR$88&amp;"."&amp;AQ270,Tab.Measure.f.Default!$A:$A,0)</f>
        <v>20</v>
      </c>
      <c r="AS270" s="21">
        <f ca="1">OFFSET(Tab.Measure.f.Default!$A$1,AR270-1,MATCH(AS$87&amp;"_"&amp;$K270,Tab.Measure.f.Default!$1:$1,0)-1)</f>
        <v>0.9</v>
      </c>
      <c r="AT270" s="29" t="str">
        <f t="shared" si="248"/>
        <v>MUH.NA.05</v>
      </c>
      <c r="AU270" s="17">
        <f>MATCH(AU$88&amp;"."&amp;AT270,Tab.Measure.f.Default!$A:$A,0)</f>
        <v>40</v>
      </c>
      <c r="AV270" s="21">
        <f ca="1">OFFSET(Tab.Measure.f.Default!$A$1,AU270-1,MATCH(AV$87&amp;"_"&amp;$J270,Tab.Measure.f.Default!$1:$1,0)-1)</f>
        <v>0.62</v>
      </c>
      <c r="AW270" s="30">
        <f t="shared" si="195"/>
        <v>1</v>
      </c>
      <c r="AX270" s="9">
        <f t="shared" ca="1" si="249"/>
        <v>0.90909090909090906</v>
      </c>
      <c r="AY270" s="9">
        <f t="shared" si="250"/>
        <v>4.5714285714285712</v>
      </c>
      <c r="AZ270" s="9">
        <f t="shared" ca="1" si="275"/>
        <v>5.4805194805194803</v>
      </c>
      <c r="BA270" s="9">
        <f t="shared" ca="1" si="276"/>
        <v>0.18246445497630331</v>
      </c>
      <c r="BB270" s="9">
        <f t="shared" ca="1" si="251"/>
        <v>0.18246445497630331</v>
      </c>
      <c r="BC270" s="32" t="str">
        <f t="shared" si="252"/>
        <v>D</v>
      </c>
      <c r="BD270" s="20" t="str">
        <f ca="1">OFFSET(Tab.Uncertainty.Levels!$A$1,MATCH(BD$88,Tab.Uncertainty.Levels!$A:$A,0)-1,MATCH(BD$87&amp;"_"&amp;BC270,Tab.Uncertainty.Levels!$1:$1,0)-1)</f>
        <v>Use of default values; building constructed until 1983</v>
      </c>
      <c r="BE270" s="24">
        <f ca="1">OFFSET(Tab.Uncertainty.Levels!$A$1,MATCH(BE$88,Tab.Uncertainty.Levels!$A:$A,0)-1,MATCH(BE$87&amp;"_"&amp;BC270,Tab.Uncertainty.Levels!$1:$1,0)-1)</f>
        <v>0.3</v>
      </c>
      <c r="BF270" s="32" t="str">
        <f t="shared" si="253"/>
        <v>-</v>
      </c>
      <c r="BG270" s="20" t="e">
        <f ca="1">OFFSET(Tab.Uncertainty.Levels!$A$1,MATCH(BG$88,Tab.Uncertainty.Levels!$A:$A,0)-1,MATCH(BG$87&amp;"_"&amp;BF270,Tab.Uncertainty.Levels!$1:$1,0)-1)</f>
        <v>#N/A</v>
      </c>
      <c r="BH270" s="24" t="e">
        <f ca="1">OFFSET(Tab.Uncertainty.Levels!$A$1,MATCH(BH$88,Tab.Uncertainty.Levels!$A:$A,0)-1,MATCH(BH$87&amp;"_"&amp;BF270,Tab.Uncertainty.Levels!$1:$1,0)-1)</f>
        <v>#N/A</v>
      </c>
      <c r="BI270" s="32" t="str">
        <f t="shared" si="224"/>
        <v>D</v>
      </c>
      <c r="BJ270" s="13">
        <f t="shared" ca="1" si="277"/>
        <v>0.3</v>
      </c>
      <c r="BK270" s="32" t="str">
        <f>IF(OR($L270="NoDataSource",IFERROR(IF($S270="",#N/A,$S270),0)=0),IF(IFERROR(IF(U270="",#N/A,U270),0)=0,"E","D"),IF($L270="DesignDataPlusQA","A",IF($L270="DesignData","B","C")))</f>
        <v>B</v>
      </c>
      <c r="BL270" s="20" t="str">
        <f ca="1">OFFSET(Tab.Uncertainty.Levels!$A$1,MATCH(BL$88,Tab.Uncertainty.Levels!$A:$A,0)-1,MATCH(BL$87&amp;"_"&amp;BK270,Tab.Uncertainty.Levels!$1:$1,0)-1)</f>
        <v>Insulation thickness from design data</v>
      </c>
      <c r="BM270" s="24">
        <f ca="1">OFFSET(Tab.Uncertainty.Levels!$A$1,MATCH(BM$88,Tab.Uncertainty.Levels!$A:$A,0)-1,MATCH(BM$87&amp;"_"&amp;BK270,Tab.Uncertainty.Levels!$1:$1,0)-1)</f>
        <v>0.1</v>
      </c>
      <c r="BN270" s="34">
        <f ca="1">OFFSET(Tab.Uncertainty.Levels!$A$1,MATCH(BN$88,Tab.Uncertainty.Levels!$A:$A,0)-1,MATCH(BN$87&amp;"_"&amp;BK270,Tab.Uncertainty.Levels!$1:$1,0)-1)</f>
        <v>1</v>
      </c>
      <c r="BO270" s="13">
        <f ca="1">IFERROR(MIN(BM270,BN270/AN270),0)</f>
        <v>6.25E-2</v>
      </c>
      <c r="BP270" s="32" t="str">
        <f>IF(OR($L270="NoDataSource",IFERROR(IF($V270="",#N/A,$V270),0)=0),IF(IFERROR(IF(U270="",#N/A,U270),0)=0,"E","D"),IF($L270="DesignDataPlusQA","A",IF($L270="DesignData","B","C")))</f>
        <v>B</v>
      </c>
      <c r="BQ270" s="20" t="str">
        <f ca="1">OFFSET(Tab.Uncertainty.Levels!$A$1,MATCH(BQ$88,Tab.Uncertainty.Levels!$A:$A,0)-1,MATCH(BQ$87&amp;"_"&amp;BP270,Tab.Uncertainty.Levels!$1:$1,0)-1)</f>
        <v>Thermal conductivity of insulation from design data</v>
      </c>
      <c r="BR270" s="97">
        <f ca="1">OFFSET(Tab.Uncertainty.Levels!$A$1,MATCH(BR$88,Tab.Uncertainty.Levels!$A:$A,0)-1,MATCH(BR$87&amp;"_"&amp;BP270,Tab.Uncertainty.Levels!$1:$1,0)-1)</f>
        <v>0.1</v>
      </c>
      <c r="BS270" s="32" t="str">
        <f>IF(L270="NoDataSource","D",IF(IFERROR(IF($T270="",#N/A,$T270),0)=0,IF(OR(IFERROR(IF($S270="",#N/A,$S270),0)&gt;0,$R270="Refurbish"),"D","E"),IF($L270="DesignDataPlusQA","A",IF($L270="DesignData","B","C"))))</f>
        <v>B</v>
      </c>
      <c r="BT270" s="20" t="str">
        <f ca="1">OFFSET(Tab.Uncertainty.Levels!$A$1,MATCH(BT$88,Tab.Uncertainty.Levels!$A:$A,0)-1,MATCH(BT$87&amp;"_"&amp;BS270,Tab.Uncertainty.Levels!$1:$1,0)-1)</f>
        <v>Insulation fraction from design data</v>
      </c>
      <c r="BU270" s="33">
        <f ca="1">OFFSET(Tab.Uncertainty.Levels!$A$1,MATCH(BU$88,Tab.Uncertainty.Levels!$A:$A,0)-1,MATCH(BU$87&amp;"_"&amp;BS270,Tab.Uncertainty.Levels!$1:$1,0)-1)</f>
        <v>0.1</v>
      </c>
      <c r="BV270" s="13">
        <f ca="1">IFERROR(MIN(BU270/AW270,1,(1-AW270)/AW270),0)</f>
        <v>0</v>
      </c>
      <c r="BW270" s="96">
        <f ca="1">ABS(1+(AW270*(1/(1+AN270/100/AP270*AG270)^2-1)))*BJ270*$AG270</f>
        <v>9.0799847263089463E-3</v>
      </c>
      <c r="BX270" s="96">
        <f ca="1">ABS(-AG270+1/(1/AG270+AN270/100/AP270))*BV270*AW270</f>
        <v>0</v>
      </c>
      <c r="BY270" s="96">
        <f ca="1">ABS(-AW270*AP270/((AP270/AG270+AN270/100)^2))*(BO270*AN270/100)</f>
        <v>9.5123649513712636E-3</v>
      </c>
      <c r="BZ270" s="202">
        <f ca="1">ABS(AW270*AN270/100/(1/AG270*AP270+AN270/100)^2)*(BR270*AP270)</f>
        <v>1.5219783922194021E-2</v>
      </c>
      <c r="CA270" s="103">
        <f t="shared" ca="1" si="198"/>
        <v>2.0114000900774462E-2</v>
      </c>
      <c r="CB270" s="37">
        <f t="shared" ca="1" si="254"/>
        <v>4.9763033175355527E-2</v>
      </c>
      <c r="CC270" s="37">
        <f t="shared" ca="1" si="255"/>
        <v>0</v>
      </c>
      <c r="CD270" s="37">
        <f t="shared" ca="1" si="256"/>
        <v>5.2132701421800952E-2</v>
      </c>
      <c r="CE270" s="37">
        <f t="shared" ca="1" si="257"/>
        <v>8.3412322274881517E-2</v>
      </c>
      <c r="CF270" s="13">
        <f t="shared" ca="1" si="258"/>
        <v>0.11023517376788081</v>
      </c>
      <c r="CG270" s="101">
        <f ca="1">AG270</f>
        <v>1.1000000000000001</v>
      </c>
      <c r="CH270" s="101">
        <f>AW270</f>
        <v>1</v>
      </c>
      <c r="CI270" s="203">
        <f>IF(CH270&gt;0,AN270,0)</f>
        <v>16</v>
      </c>
      <c r="CJ270" s="102">
        <f>IF(AND(CH270&gt;0,CI270&gt;0),AP270,0)</f>
        <v>3.5000000000000003E-2</v>
      </c>
      <c r="CK270" s="102">
        <f ca="1">BB270</f>
        <v>0.18246445497630331</v>
      </c>
      <c r="CL270" s="37">
        <f t="shared" ca="1" si="264"/>
        <v>0.3</v>
      </c>
      <c r="CM270" s="37">
        <f t="shared" ca="1" si="265"/>
        <v>0</v>
      </c>
      <c r="CN270" s="37">
        <f t="shared" ca="1" si="266"/>
        <v>6.25E-2</v>
      </c>
      <c r="CO270" s="37">
        <f t="shared" ca="1" si="267"/>
        <v>0.1</v>
      </c>
      <c r="CP270" s="37">
        <f t="shared" ca="1" si="268"/>
        <v>0.11023517376788081</v>
      </c>
      <c r="CQ270" s="95">
        <f t="shared" ca="1" si="269"/>
        <v>0.33</v>
      </c>
      <c r="CR270" s="95">
        <f t="shared" ca="1" si="270"/>
        <v>0</v>
      </c>
      <c r="CS270" s="95">
        <f t="shared" ca="1" si="271"/>
        <v>1</v>
      </c>
      <c r="CT270" s="103">
        <f t="shared" ca="1" si="272"/>
        <v>3.5000000000000005E-3</v>
      </c>
      <c r="CU270" s="95">
        <f t="shared" ca="1" si="273"/>
        <v>2.0114000900774458E-2</v>
      </c>
      <c r="CV270" s="37">
        <f ca="1">$CB270^2/$CF270^2</f>
        <v>0.2037855122825831</v>
      </c>
      <c r="CW270" s="37">
        <f ca="1">$CD270^2/$CF270^2</f>
        <v>0.22365575497680254</v>
      </c>
      <c r="CX270" s="37">
        <f ca="1">$CE270^2/$CF270^2</f>
        <v>0.57255873274061453</v>
      </c>
      <c r="CY270" s="37">
        <f ca="1">$CC270^2/$CF270^2</f>
        <v>0</v>
      </c>
      <c r="DA270" s="98" t="s">
        <v>214</v>
      </c>
      <c r="DB270" s="36">
        <f ca="1">OFFSET($A$1,ROW(DB270)-1,MATCH(DA270,$1:$1,0)-1)</f>
        <v>16</v>
      </c>
      <c r="DC270" s="9">
        <f ca="1">BB270</f>
        <v>0.18246445497630331</v>
      </c>
      <c r="DD270" s="9">
        <f ca="1">$DC270+$CA270</f>
        <v>0.20257845587707779</v>
      </c>
      <c r="DE270" s="9">
        <f ca="1">$DC270-$CA270</f>
        <v>0.16235045407552884</v>
      </c>
      <c r="DF270" s="10">
        <f t="shared" ca="1" si="245"/>
        <v>0.11023517376788089</v>
      </c>
    </row>
    <row r="271" spans="1:110" s="8" customFormat="1" ht="32.4" customHeight="1">
      <c r="A271" s="206" t="s">
        <v>742</v>
      </c>
      <c r="B271" s="210" t="s">
        <v>2350</v>
      </c>
      <c r="C271" s="206" t="s">
        <v>1024</v>
      </c>
      <c r="D271" s="206"/>
      <c r="E271" s="206"/>
      <c r="F271" s="206"/>
      <c r="G271" s="206"/>
      <c r="H271" s="207"/>
      <c r="I271" s="156" t="s">
        <v>80</v>
      </c>
      <c r="J271" s="156" t="s">
        <v>1010</v>
      </c>
      <c r="K271" s="156" t="s">
        <v>1010</v>
      </c>
      <c r="L271" s="156" t="s">
        <v>68</v>
      </c>
      <c r="M271" s="156" t="s">
        <v>188</v>
      </c>
      <c r="N271" s="7">
        <v>1960</v>
      </c>
      <c r="O271" s="156" t="e">
        <v>#N/A</v>
      </c>
      <c r="P271" s="156" t="e">
        <v>#N/A</v>
      </c>
      <c r="Q271" s="156" t="s">
        <v>435</v>
      </c>
      <c r="R271" s="156" t="s">
        <v>58</v>
      </c>
      <c r="S271" s="19">
        <v>16</v>
      </c>
      <c r="T271" s="19">
        <v>1</v>
      </c>
      <c r="U271" s="19" t="e">
        <v>#N/A</v>
      </c>
      <c r="V271" s="19">
        <v>3.5000000000000003E-2</v>
      </c>
      <c r="W271" s="28" t="s">
        <v>59</v>
      </c>
      <c r="X271" s="19" t="e">
        <v>#N/A</v>
      </c>
      <c r="Y271" s="105">
        <f ca="1">IFERROR(OFFSET(Tab.Const.ConstrBorder!$A$1,MATCH(Q271,Tab.Const.ConstrBorder!$A:$A,0)-1,MATCH(Y$87,Tab.Const.ConstrBorder!$1:$1,0)-1),0)</f>
        <v>0</v>
      </c>
      <c r="Z271" s="18">
        <f t="shared" si="188"/>
        <v>1960</v>
      </c>
      <c r="AA271" s="17">
        <f>MATCH(Z271,Tab.Year.Period!$11:$11,1)-3</f>
        <v>5</v>
      </c>
      <c r="AB271" s="17">
        <f>MATCH(AB$88&amp;"."&amp;TEXT(AA271,"00"),Tab.U.Default!$A:$A,0)</f>
        <v>28</v>
      </c>
      <c r="AC271" s="105">
        <f ca="1">OFFSET(Tab.U.Default!$A$1,$AB271-1,MATCH("U_Class_"&amp;IF($J271="TopCeiling","UpperCeiling",$J271)&amp;"_"&amp;AC$87,Tab.U.Default!$1:$1,0)-1)</f>
        <v>1.1000000000000001</v>
      </c>
      <c r="AD271" s="105">
        <f ca="1">OFFSET(Tab.U.Default!$A$1,$AB271-1,MATCH("U_Class_"&amp;IF($J271="TopCeiling","UpperCeiling",$J271)&amp;"_"&amp;AD$87,Tab.U.Default!$1:$1,0)-1)</f>
        <v>1.3</v>
      </c>
      <c r="AE271" s="105">
        <f ca="1">OFFSET(Tab.U.Default!$A$1,$AB271-1,MATCH("U_Class_"&amp;IF($J271="TopCeiling","UpperCeiling",$J271)&amp;"_"&amp;AE$87,Tab.U.Default!$1:$1,0)-1)</f>
        <v>0.8</v>
      </c>
      <c r="AF271" s="26">
        <f t="shared" ca="1" si="189"/>
        <v>1.1000000000000001</v>
      </c>
      <c r="AG271" s="26">
        <f t="shared" ca="1" si="259"/>
        <v>1.1000000000000001</v>
      </c>
      <c r="AH271" s="18" t="str">
        <f t="shared" si="246"/>
        <v>Refurbish</v>
      </c>
      <c r="AI271" s="18" t="str">
        <f t="shared" si="274"/>
        <v>Add</v>
      </c>
      <c r="AJ271" s="18">
        <f t="shared" si="192"/>
        <v>1995</v>
      </c>
      <c r="AK271" s="17">
        <f>MATCH(AJ271,Tab.Year.Period!$11:$11,1)-3</f>
        <v>9</v>
      </c>
      <c r="AL271" s="17">
        <f>MATCH(AL$88&amp;"."&amp;TEXT(AK271,"00"),Tab.Insulation.Default!$A:$A,0)</f>
        <v>20</v>
      </c>
      <c r="AM271" s="20" t="e">
        <f ca="1">IF(ISNA(IF(S271="",#N/A,S271)),OFFSET(Tab.Insulation.Default!$A$1,$AL271-1,MATCH(AM$87&amp;"_"&amp;$K271,Tab.Insulation.Default!$1:$1,0)-1),#N/A)</f>
        <v>#N/A</v>
      </c>
      <c r="AN271" s="27">
        <f t="shared" si="193"/>
        <v>16</v>
      </c>
      <c r="AO271" s="22" t="e">
        <f ca="1">IF(ISNA(IF(V271="",#N/A,V271)),OFFSET(Tab.Insulation.Default!$A$1,$AL271-1,MATCH(AO$87&amp;"_"&amp;$K271,Tab.Insulation.Default!$1:$1,0)-1),#N/A)</f>
        <v>#N/A</v>
      </c>
      <c r="AP271" s="23">
        <f t="shared" si="194"/>
        <v>3.5000000000000003E-2</v>
      </c>
      <c r="AQ271" s="29" t="str">
        <f t="shared" si="247"/>
        <v>Gen.Refurbished.09</v>
      </c>
      <c r="AR271" s="17">
        <f>MATCH(AR$88&amp;"."&amp;AQ271,Tab.Measure.f.Default!$A:$A,0)</f>
        <v>20</v>
      </c>
      <c r="AS271" s="21">
        <f ca="1">OFFSET(Tab.Measure.f.Default!$A$1,AR271-1,MATCH(AS$87&amp;"_"&amp;$K271,Tab.Measure.f.Default!$1:$1,0)-1)</f>
        <v>0.9</v>
      </c>
      <c r="AT271" s="29" t="str">
        <f t="shared" si="248"/>
        <v>MUH.NA.05</v>
      </c>
      <c r="AU271" s="17">
        <f>MATCH(AU$88&amp;"."&amp;AT271,Tab.Measure.f.Default!$A:$A,0)</f>
        <v>40</v>
      </c>
      <c r="AV271" s="21">
        <f ca="1">OFFSET(Tab.Measure.f.Default!$A$1,AU271-1,MATCH(AV$87&amp;"_"&amp;$J271,Tab.Measure.f.Default!$1:$1,0)-1)</f>
        <v>0.62</v>
      </c>
      <c r="AW271" s="30">
        <f t="shared" si="195"/>
        <v>1</v>
      </c>
      <c r="AX271" s="9">
        <f t="shared" ca="1" si="249"/>
        <v>0.90909090909090906</v>
      </c>
      <c r="AY271" s="9">
        <f t="shared" si="250"/>
        <v>4.5714285714285712</v>
      </c>
      <c r="AZ271" s="9">
        <f t="shared" ca="1" si="275"/>
        <v>5.4805194805194803</v>
      </c>
      <c r="BA271" s="9">
        <f t="shared" ca="1" si="276"/>
        <v>0.18246445497630331</v>
      </c>
      <c r="BB271" s="9">
        <f t="shared" ca="1" si="251"/>
        <v>0.18246445497630331</v>
      </c>
      <c r="BC271" s="32" t="str">
        <f t="shared" si="252"/>
        <v>D</v>
      </c>
      <c r="BD271" s="20" t="str">
        <f ca="1">OFFSET(Tab.Uncertainty.Levels!$A$1,MATCH(BD$88,Tab.Uncertainty.Levels!$A:$A,0)-1,MATCH(BD$87&amp;"_"&amp;BC271,Tab.Uncertainty.Levels!$1:$1,0)-1)</f>
        <v>Use of default values; building constructed until 1983</v>
      </c>
      <c r="BE271" s="24">
        <f ca="1">OFFSET(Tab.Uncertainty.Levels!$A$1,MATCH(BE$88,Tab.Uncertainty.Levels!$A:$A,0)-1,MATCH(BE$87&amp;"_"&amp;BC271,Tab.Uncertainty.Levels!$1:$1,0)-1)</f>
        <v>0.3</v>
      </c>
      <c r="BF271" s="32" t="str">
        <f t="shared" si="253"/>
        <v>-</v>
      </c>
      <c r="BG271" s="20" t="e">
        <f ca="1">OFFSET(Tab.Uncertainty.Levels!$A$1,MATCH(BG$88,Tab.Uncertainty.Levels!$A:$A,0)-1,MATCH(BG$87&amp;"_"&amp;BF271,Tab.Uncertainty.Levels!$1:$1,0)-1)</f>
        <v>#N/A</v>
      </c>
      <c r="BH271" s="24" t="e">
        <f ca="1">OFFSET(Tab.Uncertainty.Levels!$A$1,MATCH(BH$88,Tab.Uncertainty.Levels!$A:$A,0)-1,MATCH(BH$87&amp;"_"&amp;BF271,Tab.Uncertainty.Levels!$1:$1,0)-1)</f>
        <v>#N/A</v>
      </c>
      <c r="BI271" s="32" t="str">
        <f t="shared" si="224"/>
        <v>D</v>
      </c>
      <c r="BJ271" s="13">
        <f t="shared" ca="1" si="277"/>
        <v>0.3</v>
      </c>
      <c r="BK271" s="32" t="str">
        <f>IF(OR($L271="NoDataSource",IFERROR(IF($S271="",#N/A,$S271),0)=0),IF(IFERROR(IF(U271="",#N/A,U271),0)=0,"E","D"),IF($L271="DesignDataPlusQA","A",IF($L271="DesignData","B","C")))</f>
        <v>A</v>
      </c>
      <c r="BL271" s="20" t="str">
        <f ca="1">OFFSET(Tab.Uncertainty.Levels!$A$1,MATCH(BL$88,Tab.Uncertainty.Levels!$A:$A,0)-1,MATCH(BL$87&amp;"_"&amp;BK271,Tab.Uncertainty.Levels!$1:$1,0)-1)</f>
        <v>Insulation thickness from design data, quality assured</v>
      </c>
      <c r="BM271" s="24">
        <f ca="1">OFFSET(Tab.Uncertainty.Levels!$A$1,MATCH(BM$88,Tab.Uncertainty.Levels!$A:$A,0)-1,MATCH(BM$87&amp;"_"&amp;BK271,Tab.Uncertainty.Levels!$1:$1,0)-1)</f>
        <v>0.05</v>
      </c>
      <c r="BN271" s="34">
        <f ca="1">OFFSET(Tab.Uncertainty.Levels!$A$1,MATCH(BN$88,Tab.Uncertainty.Levels!$A:$A,0)-1,MATCH(BN$87&amp;"_"&amp;BK271,Tab.Uncertainty.Levels!$1:$1,0)-1)</f>
        <v>0.5</v>
      </c>
      <c r="BO271" s="13">
        <f ca="1">IFERROR(MIN(BM271,BN271/AN271),0)</f>
        <v>3.125E-2</v>
      </c>
      <c r="BP271" s="32" t="str">
        <f>IF(OR($L271="NoDataSource",IFERROR(IF($V271="",#N/A,$V271),0)=0),IF(IFERROR(IF(U271="",#N/A,U271),0)=0,"E","D"),IF($L271="DesignDataPlusQA","A",IF($L271="DesignData","B","C")))</f>
        <v>A</v>
      </c>
      <c r="BQ271" s="20" t="str">
        <f ca="1">OFFSET(Tab.Uncertainty.Levels!$A$1,MATCH(BQ$88,Tab.Uncertainty.Levels!$A:$A,0)-1,MATCH(BQ$87&amp;"_"&amp;BP271,Tab.Uncertainty.Levels!$1:$1,0)-1)</f>
        <v>Thermal conductivity of insulation from design data, quality assured</v>
      </c>
      <c r="BR271" s="97">
        <f ca="1">OFFSET(Tab.Uncertainty.Levels!$A$1,MATCH(BR$88,Tab.Uncertainty.Levels!$A:$A,0)-1,MATCH(BR$87&amp;"_"&amp;BP271,Tab.Uncertainty.Levels!$1:$1,0)-1)</f>
        <v>0.05</v>
      </c>
      <c r="BS271" s="32" t="str">
        <f>IF(L271="NoDataSource","D",IF(IFERROR(IF($T271="",#N/A,$T271),0)=0,IF(OR(IFERROR(IF($S271="",#N/A,$S271),0)&gt;0,$R271="Refurbish"),"D","E"),IF($L271="DesignDataPlusQA","A",IF($L271="DesignData","B","C"))))</f>
        <v>A</v>
      </c>
      <c r="BT271" s="20" t="str">
        <f ca="1">OFFSET(Tab.Uncertainty.Levels!$A$1,MATCH(BT$88,Tab.Uncertainty.Levels!$A:$A,0)-1,MATCH(BT$87&amp;"_"&amp;BS271,Tab.Uncertainty.Levels!$1:$1,0)-1)</f>
        <v>Insulation fraction from design data, quality assured</v>
      </c>
      <c r="BU271" s="33">
        <f ca="1">OFFSET(Tab.Uncertainty.Levels!$A$1,MATCH(BU$88,Tab.Uncertainty.Levels!$A:$A,0)-1,MATCH(BU$87&amp;"_"&amp;BS271,Tab.Uncertainty.Levels!$1:$1,0)-1)</f>
        <v>0.05</v>
      </c>
      <c r="BV271" s="13">
        <f ca="1">IFERROR(MIN(BU271/AW271,1,(1-AW271)/AW271),0)</f>
        <v>0</v>
      </c>
      <c r="BW271" s="96">
        <f ca="1">ABS(1+(AW271*(1/(1+AN271/100/AP271*AG271)^2-1)))*BJ271*$AG271</f>
        <v>9.0799847263089463E-3</v>
      </c>
      <c r="BX271" s="96">
        <f ca="1">ABS(-AG271+1/(1/AG271+AN271/100/AP271))*BV271*AW271</f>
        <v>0</v>
      </c>
      <c r="BY271" s="96">
        <f ca="1">ABS(-AW271*AP271/((AP271/AG271+AN271/100)^2))*(BO271*AN271/100)</f>
        <v>4.7561824756856318E-3</v>
      </c>
      <c r="BZ271" s="202">
        <f ca="1">ABS(AW271*AN271/100/(1/AG271*AP271+AN271/100)^2)*(BR271*AP271)</f>
        <v>7.6098919610970107E-3</v>
      </c>
      <c r="CA271" s="103">
        <f t="shared" ca="1" si="198"/>
        <v>1.276627784562093E-2</v>
      </c>
      <c r="CB271" s="37">
        <f t="shared" ca="1" si="254"/>
        <v>4.9763033175355527E-2</v>
      </c>
      <c r="CC271" s="37">
        <f t="shared" ca="1" si="255"/>
        <v>0</v>
      </c>
      <c r="CD271" s="37">
        <f t="shared" ca="1" si="256"/>
        <v>2.6066350710900476E-2</v>
      </c>
      <c r="CE271" s="37">
        <f t="shared" ca="1" si="257"/>
        <v>4.1706161137440759E-2</v>
      </c>
      <c r="CF271" s="13">
        <f t="shared" ca="1" si="258"/>
        <v>6.9965834426649776E-2</v>
      </c>
      <c r="CG271" s="101">
        <f ca="1">AG271</f>
        <v>1.1000000000000001</v>
      </c>
      <c r="CH271" s="101">
        <f>AW271</f>
        <v>1</v>
      </c>
      <c r="CI271" s="203">
        <f>IF(CH271&gt;0,AN271,0)</f>
        <v>16</v>
      </c>
      <c r="CJ271" s="102">
        <f>IF(AND(CH271&gt;0,CI271&gt;0),AP271,0)</f>
        <v>3.5000000000000003E-2</v>
      </c>
      <c r="CK271" s="102">
        <f ca="1">BB271</f>
        <v>0.18246445497630331</v>
      </c>
      <c r="CL271" s="37">
        <f t="shared" ca="1" si="264"/>
        <v>0.3</v>
      </c>
      <c r="CM271" s="37">
        <f t="shared" ca="1" si="265"/>
        <v>0</v>
      </c>
      <c r="CN271" s="37">
        <f t="shared" ca="1" si="266"/>
        <v>3.125E-2</v>
      </c>
      <c r="CO271" s="37">
        <f t="shared" ca="1" si="267"/>
        <v>0.05</v>
      </c>
      <c r="CP271" s="37">
        <f t="shared" ca="1" si="268"/>
        <v>6.9965834426649776E-2</v>
      </c>
      <c r="CQ271" s="95">
        <f t="shared" ca="1" si="269"/>
        <v>0.33</v>
      </c>
      <c r="CR271" s="95">
        <f t="shared" ca="1" si="270"/>
        <v>0</v>
      </c>
      <c r="CS271" s="95">
        <f t="shared" ca="1" si="271"/>
        <v>0.5</v>
      </c>
      <c r="CT271" s="103">
        <f t="shared" ca="1" si="272"/>
        <v>1.7500000000000003E-3</v>
      </c>
      <c r="CU271" s="95">
        <f t="shared" ca="1" si="273"/>
        <v>1.276627784562093E-2</v>
      </c>
      <c r="CV271" s="37">
        <f ca="1">$CB271^2/$CF271^2</f>
        <v>0.50587317610351545</v>
      </c>
      <c r="CW271" s="37">
        <f ca="1">$CD271^2/$CF271^2</f>
        <v>0.13879966963384396</v>
      </c>
      <c r="CX271" s="37">
        <f ca="1">$CE271^2/$CF271^2</f>
        <v>0.3553271542626405</v>
      </c>
      <c r="CY271" s="37">
        <f ca="1">$CC271^2/$CF271^2</f>
        <v>0</v>
      </c>
      <c r="DA271" s="98" t="s">
        <v>214</v>
      </c>
      <c r="DB271" s="36">
        <f ca="1">OFFSET($A$1,ROW(DB271)-1,MATCH(DA271,$1:$1,0)-1)</f>
        <v>16</v>
      </c>
      <c r="DC271" s="9">
        <f ca="1">BB271</f>
        <v>0.18246445497630331</v>
      </c>
      <c r="DD271" s="9">
        <f ca="1">$DC271+$CA271</f>
        <v>0.19523073282192424</v>
      </c>
      <c r="DE271" s="9">
        <f ca="1">$DC271-$CA271</f>
        <v>0.16969817713068239</v>
      </c>
      <c r="DF271" s="10">
        <f t="shared" ca="1" si="245"/>
        <v>6.9965834426649762E-2</v>
      </c>
    </row>
    <row r="272" spans="1:110" s="8" customFormat="1" ht="32.4" customHeight="1">
      <c r="A272" s="206" t="s">
        <v>743</v>
      </c>
      <c r="B272" s="210" t="s">
        <v>2350</v>
      </c>
      <c r="C272" s="206" t="s">
        <v>1022</v>
      </c>
      <c r="D272" s="206"/>
      <c r="E272" s="206"/>
      <c r="F272" s="206"/>
      <c r="G272" s="206"/>
      <c r="H272" s="207"/>
      <c r="I272" s="156" t="s">
        <v>80</v>
      </c>
      <c r="J272" s="156" t="s">
        <v>1010</v>
      </c>
      <c r="K272" s="156" t="s">
        <v>1010</v>
      </c>
      <c r="L272" s="156" t="s">
        <v>66</v>
      </c>
      <c r="M272" s="156" t="s">
        <v>188</v>
      </c>
      <c r="N272" s="7">
        <v>1960</v>
      </c>
      <c r="O272" s="156" t="e">
        <v>#N/A</v>
      </c>
      <c r="P272" s="156" t="e">
        <v>#N/A</v>
      </c>
      <c r="Q272" s="156" t="s">
        <v>435</v>
      </c>
      <c r="R272" s="156" t="s">
        <v>58</v>
      </c>
      <c r="S272" s="19">
        <v>30</v>
      </c>
      <c r="T272" s="19">
        <v>0.5</v>
      </c>
      <c r="U272" s="19" t="e">
        <v>#N/A</v>
      </c>
      <c r="V272" s="19">
        <v>3.5000000000000003E-2</v>
      </c>
      <c r="W272" s="28" t="s">
        <v>59</v>
      </c>
      <c r="X272" s="19" t="e">
        <v>#N/A</v>
      </c>
      <c r="Y272" s="105">
        <f ca="1">IFERROR(OFFSET(Tab.Const.ConstrBorder!$A$1,MATCH(Q272,Tab.Const.ConstrBorder!$A:$A,0)-1,MATCH(Y$87,Tab.Const.ConstrBorder!$1:$1,0)-1),0)</f>
        <v>0</v>
      </c>
      <c r="Z272" s="18">
        <f t="shared" si="188"/>
        <v>1960</v>
      </c>
      <c r="AA272" s="17">
        <f>MATCH(Z272,Tab.Year.Period!$11:$11,1)-3</f>
        <v>5</v>
      </c>
      <c r="AB272" s="17">
        <f>MATCH(AB$88&amp;"."&amp;TEXT(AA272,"00"),Tab.U.Default!$A:$A,0)</f>
        <v>28</v>
      </c>
      <c r="AC272" s="105">
        <f ca="1">OFFSET(Tab.U.Default!$A$1,$AB272-1,MATCH("U_Class_"&amp;IF($J272="TopCeiling","UpperCeiling",$J272)&amp;"_"&amp;AC$87,Tab.U.Default!$1:$1,0)-1)</f>
        <v>1.1000000000000001</v>
      </c>
      <c r="AD272" s="105">
        <f ca="1">OFFSET(Tab.U.Default!$A$1,$AB272-1,MATCH("U_Class_"&amp;IF($J272="TopCeiling","UpperCeiling",$J272)&amp;"_"&amp;AD$87,Tab.U.Default!$1:$1,0)-1)</f>
        <v>1.3</v>
      </c>
      <c r="AE272" s="105">
        <f ca="1">OFFSET(Tab.U.Default!$A$1,$AB272-1,MATCH("U_Class_"&amp;IF($J272="TopCeiling","UpperCeiling",$J272)&amp;"_"&amp;AE$87,Tab.U.Default!$1:$1,0)-1)</f>
        <v>0.8</v>
      </c>
      <c r="AF272" s="26">
        <f t="shared" ca="1" si="189"/>
        <v>1.1000000000000001</v>
      </c>
      <c r="AG272" s="26">
        <f t="shared" ca="1" si="259"/>
        <v>1.1000000000000001</v>
      </c>
      <c r="AH272" s="18" t="str">
        <f t="shared" si="246"/>
        <v>Refurbish</v>
      </c>
      <c r="AI272" s="18" t="str">
        <f t="shared" si="274"/>
        <v>Add</v>
      </c>
      <c r="AJ272" s="18">
        <f t="shared" si="192"/>
        <v>1995</v>
      </c>
      <c r="AK272" s="17">
        <f>MATCH(AJ272,Tab.Year.Period!$11:$11,1)-3</f>
        <v>9</v>
      </c>
      <c r="AL272" s="17">
        <f>MATCH(AL$88&amp;"."&amp;TEXT(AK272,"00"),Tab.Insulation.Default!$A:$A,0)</f>
        <v>20</v>
      </c>
      <c r="AM272" s="20" t="e">
        <f ca="1">IF(ISNA(IF(S272="",#N/A,S272)),OFFSET(Tab.Insulation.Default!$A$1,$AL272-1,MATCH(AM$87&amp;"_"&amp;$K272,Tab.Insulation.Default!$1:$1,0)-1),#N/A)</f>
        <v>#N/A</v>
      </c>
      <c r="AN272" s="27">
        <f t="shared" si="193"/>
        <v>30</v>
      </c>
      <c r="AO272" s="22" t="e">
        <f ca="1">IF(ISNA(IF(V272="",#N/A,V272)),OFFSET(Tab.Insulation.Default!$A$1,$AL272-1,MATCH(AO$87&amp;"_"&amp;$K272,Tab.Insulation.Default!$1:$1,0)-1),#N/A)</f>
        <v>#N/A</v>
      </c>
      <c r="AP272" s="23">
        <f t="shared" si="194"/>
        <v>3.5000000000000003E-2</v>
      </c>
      <c r="AQ272" s="29" t="str">
        <f t="shared" si="247"/>
        <v>Gen.Refurbished.09</v>
      </c>
      <c r="AR272" s="17">
        <f>MATCH(AR$88&amp;"."&amp;AQ272,Tab.Measure.f.Default!$A:$A,0)</f>
        <v>20</v>
      </c>
      <c r="AS272" s="21">
        <f ca="1">OFFSET(Tab.Measure.f.Default!$A$1,AR272-1,MATCH(AS$87&amp;"_"&amp;$K272,Tab.Measure.f.Default!$1:$1,0)-1)</f>
        <v>0.9</v>
      </c>
      <c r="AT272" s="29" t="str">
        <f t="shared" si="248"/>
        <v>MUH.NA.05</v>
      </c>
      <c r="AU272" s="17">
        <f>MATCH(AU$88&amp;"."&amp;AT272,Tab.Measure.f.Default!$A:$A,0)</f>
        <v>40</v>
      </c>
      <c r="AV272" s="21">
        <f ca="1">OFFSET(Tab.Measure.f.Default!$A$1,AU272-1,MATCH(AV$87&amp;"_"&amp;$J272,Tab.Measure.f.Default!$1:$1,0)-1)</f>
        <v>0.62</v>
      </c>
      <c r="AW272" s="30">
        <f t="shared" si="195"/>
        <v>0.5</v>
      </c>
      <c r="AX272" s="9">
        <f t="shared" ca="1" si="249"/>
        <v>0.90909090909090906</v>
      </c>
      <c r="AY272" s="9">
        <f t="shared" si="250"/>
        <v>8.5714285714285712</v>
      </c>
      <c r="AZ272" s="9">
        <f t="shared" ca="1" si="275"/>
        <v>9.4805194805194795</v>
      </c>
      <c r="BA272" s="9">
        <f t="shared" ca="1" si="276"/>
        <v>0.10547945205479453</v>
      </c>
      <c r="BB272" s="9">
        <f t="shared" ca="1" si="251"/>
        <v>0.60273972602739734</v>
      </c>
      <c r="BC272" s="32" t="str">
        <f t="shared" si="252"/>
        <v>D</v>
      </c>
      <c r="BD272" s="20" t="str">
        <f ca="1">OFFSET(Tab.Uncertainty.Levels!$A$1,MATCH(BD$88,Tab.Uncertainty.Levels!$A:$A,0)-1,MATCH(BD$87&amp;"_"&amp;BC272,Tab.Uncertainty.Levels!$1:$1,0)-1)</f>
        <v>Use of default values; building constructed until 1983</v>
      </c>
      <c r="BE272" s="24">
        <f ca="1">OFFSET(Tab.Uncertainty.Levels!$A$1,MATCH(BE$88,Tab.Uncertainty.Levels!$A:$A,0)-1,MATCH(BE$87&amp;"_"&amp;BC272,Tab.Uncertainty.Levels!$1:$1,0)-1)</f>
        <v>0.3</v>
      </c>
      <c r="BF272" s="32" t="str">
        <f t="shared" si="253"/>
        <v>-</v>
      </c>
      <c r="BG272" s="20" t="e">
        <f ca="1">OFFSET(Tab.Uncertainty.Levels!$A$1,MATCH(BG$88,Tab.Uncertainty.Levels!$A:$A,0)-1,MATCH(BG$87&amp;"_"&amp;BF272,Tab.Uncertainty.Levels!$1:$1,0)-1)</f>
        <v>#N/A</v>
      </c>
      <c r="BH272" s="24" t="e">
        <f ca="1">OFFSET(Tab.Uncertainty.Levels!$A$1,MATCH(BH$88,Tab.Uncertainty.Levels!$A:$A,0)-1,MATCH(BH$87&amp;"_"&amp;BF272,Tab.Uncertainty.Levels!$1:$1,0)-1)</f>
        <v>#N/A</v>
      </c>
      <c r="BI272" s="32" t="str">
        <f t="shared" si="224"/>
        <v>D</v>
      </c>
      <c r="BJ272" s="13">
        <f t="shared" ca="1" si="277"/>
        <v>0.3</v>
      </c>
      <c r="BK272" s="32" t="str">
        <f>IF(OR($L272="NoDataSource",IFERROR(IF($S272="",#N/A,$S272),0)=0),IF(IFERROR(IF(U272="",#N/A,U272),0)=0,"E","D"),IF($L272="DesignDataPlusQA","A",IF($L272="DesignData","B","C")))</f>
        <v>C</v>
      </c>
      <c r="BL272" s="20" t="str">
        <f ca="1">OFFSET(Tab.Uncertainty.Levels!$A$1,MATCH(BL$88,Tab.Uncertainty.Levels!$A:$A,0)-1,MATCH(BL$87&amp;"_"&amp;BK272,Tab.Uncertainty.Levels!$1:$1,0)-1)</f>
        <v>Insulation thickness determined by inspection onsite / record or statement of owner</v>
      </c>
      <c r="BM272" s="24">
        <f ca="1">OFFSET(Tab.Uncertainty.Levels!$A$1,MATCH(BM$88,Tab.Uncertainty.Levels!$A:$A,0)-1,MATCH(BM$87&amp;"_"&amp;BK272,Tab.Uncertainty.Levels!$1:$1,0)-1)</f>
        <v>0.25</v>
      </c>
      <c r="BN272" s="34">
        <f ca="1">OFFSET(Tab.Uncertainty.Levels!$A$1,MATCH(BN$88,Tab.Uncertainty.Levels!$A:$A,0)-1,MATCH(BN$87&amp;"_"&amp;BK272,Tab.Uncertainty.Levels!$1:$1,0)-1)</f>
        <v>2</v>
      </c>
      <c r="BO272" s="13">
        <f ca="1">IFERROR(MIN(BM272,BN272/AN272),0)</f>
        <v>6.6666666666666666E-2</v>
      </c>
      <c r="BP272" s="32" t="str">
        <f>IF(OR($L272="NoDataSource",IFERROR(IF($V272="",#N/A,$V272),0)=0),IF(IFERROR(IF(U272="",#N/A,U272),0)=0,"E","D"),IF($L272="DesignDataPlusQA","A",IF($L272="DesignData","B","C")))</f>
        <v>C</v>
      </c>
      <c r="BQ272" s="20" t="str">
        <f ca="1">OFFSET(Tab.Uncertainty.Levels!$A$1,MATCH(BQ$88,Tab.Uncertainty.Levels!$A:$A,0)-1,MATCH(BQ$87&amp;"_"&amp;BP272,Tab.Uncertainty.Levels!$1:$1,0)-1)</f>
        <v>Thermal conductivity of Insulation determined by inspection onsite / record or statement of owner</v>
      </c>
      <c r="BR272" s="97">
        <f ca="1">OFFSET(Tab.Uncertainty.Levels!$A$1,MATCH(BR$88,Tab.Uncertainty.Levels!$A:$A,0)-1,MATCH(BR$87&amp;"_"&amp;BP272,Tab.Uncertainty.Levels!$1:$1,0)-1)</f>
        <v>0.15</v>
      </c>
      <c r="BS272" s="32" t="str">
        <f>IF(L272="NoDataSource","D",IF(IFERROR(IF($T272="",#N/A,$T272),0)=0,IF(OR(IFERROR(IF($S272="",#N/A,$S272),0)&gt;0,$R272="Refurbish"),"D","E"),IF($L272="DesignDataPlusQA","A",IF($L272="DesignData","B","C"))))</f>
        <v>C</v>
      </c>
      <c r="BT272" s="20" t="str">
        <f ca="1">OFFSET(Tab.Uncertainty.Levels!$A$1,MATCH(BT$88,Tab.Uncertainty.Levels!$A:$A,0)-1,MATCH(BT$87&amp;"_"&amp;BS272,Tab.Uncertainty.Levels!$1:$1,0)-1)</f>
        <v>Insulation fraction determined by inspection onsite / record or statement of owner</v>
      </c>
      <c r="BU272" s="33">
        <f ca="1">OFFSET(Tab.Uncertainty.Levels!$A$1,MATCH(BU$88,Tab.Uncertainty.Levels!$A:$A,0)-1,MATCH(BU$87&amp;"_"&amp;BS272,Tab.Uncertainty.Levels!$1:$1,0)-1)</f>
        <v>0.2</v>
      </c>
      <c r="BV272" s="13">
        <f ca="1">IFERROR(MIN(BU272/AW272,1,(1-AW272)/AW272),0)</f>
        <v>0.4</v>
      </c>
      <c r="BW272" s="96">
        <f ca="1">ABS(1+(AW272*(1/(1+AN272/100/AP272*AG272)^2-1)))*BJ272*$AG272</f>
        <v>0.16651717020078813</v>
      </c>
      <c r="BX272" s="96">
        <f ca="1">ABS(-AG272+1/(1/AG272+AN272/100/AP272))*BV272*AW272</f>
        <v>0.19890410958904112</v>
      </c>
      <c r="BY272" s="96">
        <f ca="1">ABS(-AW272*AP272/((AP272/AG272+AN272/100)^2))*(BO272*AN272/100)</f>
        <v>3.1788328016513425E-3</v>
      </c>
      <c r="BZ272" s="202">
        <f ca="1">ABS(AW272*AN272/100/(1/AG272*AP272+AN272/100)^2)*(BR272*AP272)</f>
        <v>7.1523738037155195E-3</v>
      </c>
      <c r="CA272" s="103">
        <f t="shared" ca="1" si="198"/>
        <v>0.25952278168225706</v>
      </c>
      <c r="CB272" s="37">
        <f t="shared" ca="1" si="254"/>
        <v>0.27626712328767117</v>
      </c>
      <c r="CC272" s="37">
        <f t="shared" ca="1" si="255"/>
        <v>0.33</v>
      </c>
      <c r="CD272" s="37">
        <f t="shared" ca="1" si="256"/>
        <v>5.2739726027397262E-3</v>
      </c>
      <c r="CE272" s="37">
        <f t="shared" ca="1" si="257"/>
        <v>1.1866438356164383E-2</v>
      </c>
      <c r="CF272" s="13">
        <f t="shared" ca="1" si="258"/>
        <v>0.43057188779101729</v>
      </c>
      <c r="CG272" s="101">
        <f ca="1">AG272</f>
        <v>1.1000000000000001</v>
      </c>
      <c r="CH272" s="101">
        <f>AW272</f>
        <v>0.5</v>
      </c>
      <c r="CI272" s="203">
        <f>IF(CH272&gt;0,AN272,0)</f>
        <v>30</v>
      </c>
      <c r="CJ272" s="102">
        <f>IF(AND(CH272&gt;0,CI272&gt;0),AP272,0)</f>
        <v>3.5000000000000003E-2</v>
      </c>
      <c r="CK272" s="102">
        <f ca="1">BB272</f>
        <v>0.60273972602739734</v>
      </c>
      <c r="CL272" s="37">
        <f t="shared" ca="1" si="264"/>
        <v>0.3</v>
      </c>
      <c r="CM272" s="37">
        <f t="shared" ca="1" si="265"/>
        <v>0.4</v>
      </c>
      <c r="CN272" s="37">
        <f t="shared" ca="1" si="266"/>
        <v>6.6666666666666666E-2</v>
      </c>
      <c r="CO272" s="37">
        <f t="shared" ca="1" si="267"/>
        <v>0.15</v>
      </c>
      <c r="CP272" s="37">
        <f t="shared" ca="1" si="268"/>
        <v>0.43057188779101729</v>
      </c>
      <c r="CQ272" s="95">
        <f t="shared" ca="1" si="269"/>
        <v>0.33</v>
      </c>
      <c r="CR272" s="95">
        <f t="shared" ca="1" si="270"/>
        <v>0.2</v>
      </c>
      <c r="CS272" s="95">
        <f t="shared" ca="1" si="271"/>
        <v>2</v>
      </c>
      <c r="CT272" s="103">
        <f t="shared" ca="1" si="272"/>
        <v>5.2500000000000003E-3</v>
      </c>
      <c r="CU272" s="95">
        <f t="shared" ca="1" si="273"/>
        <v>0.25952278168225701</v>
      </c>
      <c r="CV272" s="37">
        <f ca="1">$CB272^2/$CF272^2</f>
        <v>0.41168691975782218</v>
      </c>
      <c r="CW272" s="37">
        <f ca="1">$CD272^2/$CF272^2</f>
        <v>1.5003217197191626E-4</v>
      </c>
      <c r="CX272" s="37">
        <f ca="1">$CE272^2/$CF272^2</f>
        <v>7.5953787060782597E-4</v>
      </c>
      <c r="CY272" s="37">
        <f ca="1">$CC272^2/$CF272^2</f>
        <v>0.58740351019959813</v>
      </c>
      <c r="DA272" s="98" t="s">
        <v>214</v>
      </c>
      <c r="DB272" s="36">
        <f ca="1">OFFSET($A$1,ROW(DB272)-1,MATCH(DA272,$1:$1,0)-1)</f>
        <v>30</v>
      </c>
      <c r="DC272" s="9">
        <f ca="1">BB272</f>
        <v>0.60273972602739734</v>
      </c>
      <c r="DD272" s="9">
        <f ca="1">$DC272+$CA272</f>
        <v>0.8622625077096544</v>
      </c>
      <c r="DE272" s="9">
        <f ca="1">$DC272-$CA272</f>
        <v>0.34321694434514027</v>
      </c>
      <c r="DF272" s="10">
        <f t="shared" ca="1" si="245"/>
        <v>0.43057188779101735</v>
      </c>
    </row>
    <row r="273" spans="1:110" s="8" customFormat="1" ht="32.4" customHeight="1">
      <c r="A273" s="206" t="s">
        <v>744</v>
      </c>
      <c r="B273" s="210" t="s">
        <v>2350</v>
      </c>
      <c r="C273" s="206" t="s">
        <v>1023</v>
      </c>
      <c r="D273" s="206"/>
      <c r="E273" s="206"/>
      <c r="F273" s="206"/>
      <c r="G273" s="206"/>
      <c r="H273" s="207"/>
      <c r="I273" s="156" t="s">
        <v>80</v>
      </c>
      <c r="J273" s="156" t="s">
        <v>1010</v>
      </c>
      <c r="K273" s="156" t="s">
        <v>1010</v>
      </c>
      <c r="L273" s="156" t="s">
        <v>66</v>
      </c>
      <c r="M273" s="156" t="s">
        <v>188</v>
      </c>
      <c r="N273" s="7">
        <v>1960</v>
      </c>
      <c r="O273" s="156" t="e">
        <v>#N/A</v>
      </c>
      <c r="P273" s="156" t="e">
        <v>#N/A</v>
      </c>
      <c r="Q273" s="156" t="s">
        <v>435</v>
      </c>
      <c r="R273" s="156" t="s">
        <v>58</v>
      </c>
      <c r="S273" s="19">
        <v>30</v>
      </c>
      <c r="T273" s="19">
        <v>1</v>
      </c>
      <c r="U273" s="19" t="e">
        <v>#N/A</v>
      </c>
      <c r="V273" s="19">
        <v>3.5000000000000003E-2</v>
      </c>
      <c r="W273" s="28" t="s">
        <v>59</v>
      </c>
      <c r="X273" s="19" t="e">
        <v>#N/A</v>
      </c>
      <c r="Y273" s="105">
        <f ca="1">IFERROR(OFFSET(Tab.Const.ConstrBorder!$A$1,MATCH(Q273,Tab.Const.ConstrBorder!$A:$A,0)-1,MATCH(Y$87,Tab.Const.ConstrBorder!$1:$1,0)-1),0)</f>
        <v>0</v>
      </c>
      <c r="Z273" s="18">
        <f t="shared" si="188"/>
        <v>1960</v>
      </c>
      <c r="AA273" s="17">
        <f>MATCH(Z273,Tab.Year.Period!$11:$11,1)-3</f>
        <v>5</v>
      </c>
      <c r="AB273" s="17">
        <f>MATCH(AB$88&amp;"."&amp;TEXT(AA273,"00"),Tab.U.Default!$A:$A,0)</f>
        <v>28</v>
      </c>
      <c r="AC273" s="105">
        <f ca="1">OFFSET(Tab.U.Default!$A$1,$AB273-1,MATCH("U_Class_"&amp;IF($J273="TopCeiling","UpperCeiling",$J273)&amp;"_"&amp;AC$87,Tab.U.Default!$1:$1,0)-1)</f>
        <v>1.1000000000000001</v>
      </c>
      <c r="AD273" s="105">
        <f ca="1">OFFSET(Tab.U.Default!$A$1,$AB273-1,MATCH("U_Class_"&amp;IF($J273="TopCeiling","UpperCeiling",$J273)&amp;"_"&amp;AD$87,Tab.U.Default!$1:$1,0)-1)</f>
        <v>1.3</v>
      </c>
      <c r="AE273" s="105">
        <f ca="1">OFFSET(Tab.U.Default!$A$1,$AB273-1,MATCH("U_Class_"&amp;IF($J273="TopCeiling","UpperCeiling",$J273)&amp;"_"&amp;AE$87,Tab.U.Default!$1:$1,0)-1)</f>
        <v>0.8</v>
      </c>
      <c r="AF273" s="26">
        <f t="shared" ca="1" si="189"/>
        <v>1.1000000000000001</v>
      </c>
      <c r="AG273" s="26">
        <f t="shared" ca="1" si="259"/>
        <v>1.1000000000000001</v>
      </c>
      <c r="AH273" s="18" t="str">
        <f t="shared" si="246"/>
        <v>Refurbish</v>
      </c>
      <c r="AI273" s="18" t="str">
        <f t="shared" si="274"/>
        <v>Add</v>
      </c>
      <c r="AJ273" s="18">
        <f t="shared" si="192"/>
        <v>1995</v>
      </c>
      <c r="AK273" s="17">
        <f>MATCH(AJ273,Tab.Year.Period!$11:$11,1)-3</f>
        <v>9</v>
      </c>
      <c r="AL273" s="17">
        <f>MATCH(AL$88&amp;"."&amp;TEXT(AK273,"00"),Tab.Insulation.Default!$A:$A,0)</f>
        <v>20</v>
      </c>
      <c r="AM273" s="20" t="e">
        <f ca="1">IF(ISNA(IF(S273="",#N/A,S273)),OFFSET(Tab.Insulation.Default!$A$1,$AL273-1,MATCH(AM$87&amp;"_"&amp;$K273,Tab.Insulation.Default!$1:$1,0)-1),#N/A)</f>
        <v>#N/A</v>
      </c>
      <c r="AN273" s="27">
        <f t="shared" si="193"/>
        <v>30</v>
      </c>
      <c r="AO273" s="22" t="e">
        <f ca="1">IF(ISNA(IF(V273="",#N/A,V273)),OFFSET(Tab.Insulation.Default!$A$1,$AL273-1,MATCH(AO$87&amp;"_"&amp;$K273,Tab.Insulation.Default!$1:$1,0)-1),#N/A)</f>
        <v>#N/A</v>
      </c>
      <c r="AP273" s="23">
        <f t="shared" si="194"/>
        <v>3.5000000000000003E-2</v>
      </c>
      <c r="AQ273" s="29" t="str">
        <f t="shared" si="247"/>
        <v>Gen.Refurbished.09</v>
      </c>
      <c r="AR273" s="17">
        <f>MATCH(AR$88&amp;"."&amp;AQ273,Tab.Measure.f.Default!$A:$A,0)</f>
        <v>20</v>
      </c>
      <c r="AS273" s="21">
        <f ca="1">OFFSET(Tab.Measure.f.Default!$A$1,AR273-1,MATCH(AS$87&amp;"_"&amp;$K273,Tab.Measure.f.Default!$1:$1,0)-1)</f>
        <v>0.9</v>
      </c>
      <c r="AT273" s="29" t="str">
        <f t="shared" si="248"/>
        <v>MUH.NA.05</v>
      </c>
      <c r="AU273" s="17">
        <f>MATCH(AU$88&amp;"."&amp;AT273,Tab.Measure.f.Default!$A:$A,0)</f>
        <v>40</v>
      </c>
      <c r="AV273" s="21">
        <f ca="1">OFFSET(Tab.Measure.f.Default!$A$1,AU273-1,MATCH(AV$87&amp;"_"&amp;$J273,Tab.Measure.f.Default!$1:$1,0)-1)</f>
        <v>0.62</v>
      </c>
      <c r="AW273" s="30">
        <f t="shared" si="195"/>
        <v>1</v>
      </c>
      <c r="AX273" s="9">
        <f t="shared" ca="1" si="249"/>
        <v>0.90909090909090906</v>
      </c>
      <c r="AY273" s="9">
        <f t="shared" si="250"/>
        <v>8.5714285714285712</v>
      </c>
      <c r="AZ273" s="9">
        <f t="shared" ca="1" si="275"/>
        <v>9.4805194805194795</v>
      </c>
      <c r="BA273" s="9">
        <f t="shared" ca="1" si="276"/>
        <v>0.10547945205479453</v>
      </c>
      <c r="BB273" s="9">
        <f t="shared" ca="1" si="251"/>
        <v>0.10547945205479453</v>
      </c>
      <c r="BC273" s="32" t="str">
        <f t="shared" si="252"/>
        <v>D</v>
      </c>
      <c r="BD273" s="20" t="str">
        <f ca="1">OFFSET(Tab.Uncertainty.Levels!$A$1,MATCH(BD$88,Tab.Uncertainty.Levels!$A:$A,0)-1,MATCH(BD$87&amp;"_"&amp;BC273,Tab.Uncertainty.Levels!$1:$1,0)-1)</f>
        <v>Use of default values; building constructed until 1983</v>
      </c>
      <c r="BE273" s="24">
        <f ca="1">OFFSET(Tab.Uncertainty.Levels!$A$1,MATCH(BE$88,Tab.Uncertainty.Levels!$A:$A,0)-1,MATCH(BE$87&amp;"_"&amp;BC273,Tab.Uncertainty.Levels!$1:$1,0)-1)</f>
        <v>0.3</v>
      </c>
      <c r="BF273" s="32" t="str">
        <f t="shared" si="253"/>
        <v>-</v>
      </c>
      <c r="BG273" s="20" t="e">
        <f ca="1">OFFSET(Tab.Uncertainty.Levels!$A$1,MATCH(BG$88,Tab.Uncertainty.Levels!$A:$A,0)-1,MATCH(BG$87&amp;"_"&amp;BF273,Tab.Uncertainty.Levels!$1:$1,0)-1)</f>
        <v>#N/A</v>
      </c>
      <c r="BH273" s="24" t="e">
        <f ca="1">OFFSET(Tab.Uncertainty.Levels!$A$1,MATCH(BH$88,Tab.Uncertainty.Levels!$A:$A,0)-1,MATCH(BH$87&amp;"_"&amp;BF273,Tab.Uncertainty.Levels!$1:$1,0)-1)</f>
        <v>#N/A</v>
      </c>
      <c r="BI273" s="32" t="str">
        <f t="shared" si="224"/>
        <v>D</v>
      </c>
      <c r="BJ273" s="13">
        <f t="shared" ca="1" si="277"/>
        <v>0.3</v>
      </c>
      <c r="BK273" s="32" t="str">
        <f>IF(OR($L273="NoDataSource",IFERROR(IF($S273="",#N/A,$S273),0)=0),IF(IFERROR(IF(U273="",#N/A,U273),0)=0,"E","D"),IF($L273="DesignDataPlusQA","A",IF($L273="DesignData","B","C")))</f>
        <v>C</v>
      </c>
      <c r="BL273" s="20" t="str">
        <f ca="1">OFFSET(Tab.Uncertainty.Levels!$A$1,MATCH(BL$88,Tab.Uncertainty.Levels!$A:$A,0)-1,MATCH(BL$87&amp;"_"&amp;BK273,Tab.Uncertainty.Levels!$1:$1,0)-1)</f>
        <v>Insulation thickness determined by inspection onsite / record or statement of owner</v>
      </c>
      <c r="BM273" s="24">
        <f ca="1">OFFSET(Tab.Uncertainty.Levels!$A$1,MATCH(BM$88,Tab.Uncertainty.Levels!$A:$A,0)-1,MATCH(BM$87&amp;"_"&amp;BK273,Tab.Uncertainty.Levels!$1:$1,0)-1)</f>
        <v>0.25</v>
      </c>
      <c r="BN273" s="34">
        <f ca="1">OFFSET(Tab.Uncertainty.Levels!$A$1,MATCH(BN$88,Tab.Uncertainty.Levels!$A:$A,0)-1,MATCH(BN$87&amp;"_"&amp;BK273,Tab.Uncertainty.Levels!$1:$1,0)-1)</f>
        <v>2</v>
      </c>
      <c r="BO273" s="13">
        <f ca="1">IFERROR(MIN(BM273,BN273/AN273),0)</f>
        <v>6.6666666666666666E-2</v>
      </c>
      <c r="BP273" s="32" t="str">
        <f>IF(OR($L273="NoDataSource",IFERROR(IF($V273="",#N/A,$V273),0)=0),IF(IFERROR(IF(U273="",#N/A,U273),0)=0,"E","D"),IF($L273="DesignDataPlusQA","A",IF($L273="DesignData","B","C")))</f>
        <v>C</v>
      </c>
      <c r="BQ273" s="20" t="str">
        <f ca="1">OFFSET(Tab.Uncertainty.Levels!$A$1,MATCH(BQ$88,Tab.Uncertainty.Levels!$A:$A,0)-1,MATCH(BQ$87&amp;"_"&amp;BP273,Tab.Uncertainty.Levels!$1:$1,0)-1)</f>
        <v>Thermal conductivity of Insulation determined by inspection onsite / record or statement of owner</v>
      </c>
      <c r="BR273" s="97">
        <f ca="1">OFFSET(Tab.Uncertainty.Levels!$A$1,MATCH(BR$88,Tab.Uncertainty.Levels!$A:$A,0)-1,MATCH(BR$87&amp;"_"&amp;BP273,Tab.Uncertainty.Levels!$1:$1,0)-1)</f>
        <v>0.15</v>
      </c>
      <c r="BS273" s="32" t="str">
        <f>IF(L273="NoDataSource","D",IF(IFERROR(IF($T273="",#N/A,$T273),0)=0,IF(OR(IFERROR(IF($S273="",#N/A,$S273),0)&gt;0,$R273="Refurbish"),"D","E"),IF($L273="DesignDataPlusQA","A",IF($L273="DesignData","B","C"))))</f>
        <v>C</v>
      </c>
      <c r="BT273" s="20" t="str">
        <f ca="1">OFFSET(Tab.Uncertainty.Levels!$A$1,MATCH(BT$88,Tab.Uncertainty.Levels!$A:$A,0)-1,MATCH(BT$87&amp;"_"&amp;BS273,Tab.Uncertainty.Levels!$1:$1,0)-1)</f>
        <v>Insulation fraction determined by inspection onsite / record or statement of owner</v>
      </c>
      <c r="BU273" s="33">
        <f ca="1">OFFSET(Tab.Uncertainty.Levels!$A$1,MATCH(BU$88,Tab.Uncertainty.Levels!$A:$A,0)-1,MATCH(BU$87&amp;"_"&amp;BS273,Tab.Uncertainty.Levels!$1:$1,0)-1)</f>
        <v>0.2</v>
      </c>
      <c r="BV273" s="13">
        <f ca="1">IFERROR(MIN(BU273/AW273,1,(1-AW273)/AW273),0)</f>
        <v>0</v>
      </c>
      <c r="BW273" s="96">
        <f ca="1">ABS(1+(AW273*(1/(1+AN273/100/AP273*AG273)^2-1)))*BJ273*$AG273</f>
        <v>3.0343404015762956E-3</v>
      </c>
      <c r="BX273" s="96">
        <f ca="1">ABS(-AG273+1/(1/AG273+AN273/100/AP273))*BV273*AW273</f>
        <v>0</v>
      </c>
      <c r="BY273" s="96">
        <f ca="1">ABS(-AW273*AP273/((AP273/AG273+AN273/100)^2))*(BO273*AN273/100)</f>
        <v>6.3576656033026849E-3</v>
      </c>
      <c r="BZ273" s="202">
        <f ca="1">ABS(AW273*AN273/100/(1/AG273*AP273+AN273/100)^2)*(BR273*AP273)</f>
        <v>1.4304747607431039E-2</v>
      </c>
      <c r="CA273" s="103">
        <f t="shared" ca="1" si="198"/>
        <v>1.5945310837621209E-2</v>
      </c>
      <c r="CB273" s="37">
        <f t="shared" ca="1" si="254"/>
        <v>2.8767123287671371E-2</v>
      </c>
      <c r="CC273" s="37">
        <f t="shared" ca="1" si="255"/>
        <v>0</v>
      </c>
      <c r="CD273" s="37">
        <f t="shared" ca="1" si="256"/>
        <v>6.0273972602739735E-2</v>
      </c>
      <c r="CE273" s="37">
        <f t="shared" ca="1" si="257"/>
        <v>0.13561643835616438</v>
      </c>
      <c r="CF273" s="13">
        <f t="shared" ca="1" si="258"/>
        <v>0.15116983001900625</v>
      </c>
      <c r="CG273" s="101">
        <f ca="1">AG273</f>
        <v>1.1000000000000001</v>
      </c>
      <c r="CH273" s="101">
        <f>AW273</f>
        <v>1</v>
      </c>
      <c r="CI273" s="203">
        <f>IF(CH273&gt;0,AN273,0)</f>
        <v>30</v>
      </c>
      <c r="CJ273" s="102">
        <f>IF(AND(CH273&gt;0,CI273&gt;0),AP273,0)</f>
        <v>3.5000000000000003E-2</v>
      </c>
      <c r="CK273" s="102">
        <f ca="1">BB273</f>
        <v>0.10547945205479453</v>
      </c>
      <c r="CL273" s="37">
        <f t="shared" ca="1" si="264"/>
        <v>0.3</v>
      </c>
      <c r="CM273" s="37">
        <f t="shared" ca="1" si="265"/>
        <v>0</v>
      </c>
      <c r="CN273" s="37">
        <f t="shared" ca="1" si="266"/>
        <v>6.6666666666666666E-2</v>
      </c>
      <c r="CO273" s="37">
        <f t="shared" ca="1" si="267"/>
        <v>0.15</v>
      </c>
      <c r="CP273" s="37">
        <f t="shared" ca="1" si="268"/>
        <v>0.15116983001900625</v>
      </c>
      <c r="CQ273" s="95">
        <f t="shared" ca="1" si="269"/>
        <v>0.33</v>
      </c>
      <c r="CR273" s="95">
        <f t="shared" ca="1" si="270"/>
        <v>0</v>
      </c>
      <c r="CS273" s="95">
        <f t="shared" ca="1" si="271"/>
        <v>2</v>
      </c>
      <c r="CT273" s="103">
        <f t="shared" ca="1" si="272"/>
        <v>5.2500000000000003E-3</v>
      </c>
      <c r="CU273" s="95">
        <f t="shared" ca="1" si="273"/>
        <v>1.5945310837621209E-2</v>
      </c>
      <c r="CV273" s="37">
        <f ca="1">$CB273^2/$CF273^2</f>
        <v>3.6212842831335523E-2</v>
      </c>
      <c r="CW273" s="37">
        <f ca="1">$CD273^2/$CF273^2</f>
        <v>0.15897520118246014</v>
      </c>
      <c r="CX273" s="37">
        <f ca="1">$CE273^2/$CF273^2</f>
        <v>0.80481195598620414</v>
      </c>
      <c r="CY273" s="37">
        <f ca="1">$CC273^2/$CF273^2</f>
        <v>0</v>
      </c>
      <c r="DA273" s="98" t="s">
        <v>214</v>
      </c>
      <c r="DB273" s="36">
        <f ca="1">OFFSET($A$1,ROW(DB273)-1,MATCH(DA273,$1:$1,0)-1)</f>
        <v>30</v>
      </c>
      <c r="DC273" s="9">
        <f ca="1">BB273</f>
        <v>0.10547945205479453</v>
      </c>
      <c r="DD273" s="9">
        <f ca="1">$DC273+$CA273</f>
        <v>0.12142476289241574</v>
      </c>
      <c r="DE273" s="9">
        <f ca="1">$DC273-$CA273</f>
        <v>8.9534141217173319E-2</v>
      </c>
      <c r="DF273" s="10">
        <f t="shared" ca="1" si="245"/>
        <v>0.15116983001900627</v>
      </c>
    </row>
    <row r="274" spans="1:110" s="8" customFormat="1" ht="32.4" customHeight="1">
      <c r="A274" s="206" t="s">
        <v>745</v>
      </c>
      <c r="B274" s="210" t="s">
        <v>2350</v>
      </c>
      <c r="C274" s="206" t="s">
        <v>1019</v>
      </c>
      <c r="D274" s="206"/>
      <c r="E274" s="206"/>
      <c r="F274" s="206"/>
      <c r="G274" s="206"/>
      <c r="H274" s="207"/>
      <c r="I274" s="156" t="s">
        <v>80</v>
      </c>
      <c r="J274" s="156" t="s">
        <v>1010</v>
      </c>
      <c r="K274" s="156" t="s">
        <v>1010</v>
      </c>
      <c r="L274" s="156" t="s">
        <v>190</v>
      </c>
      <c r="M274" s="156" t="s">
        <v>188</v>
      </c>
      <c r="N274" s="7">
        <v>1960</v>
      </c>
      <c r="O274" s="156" t="e">
        <v>#N/A</v>
      </c>
      <c r="P274" s="156" t="e">
        <v>#N/A</v>
      </c>
      <c r="Q274" s="156" t="s">
        <v>435</v>
      </c>
      <c r="R274" s="156" t="s">
        <v>41</v>
      </c>
      <c r="S274" s="19" t="e">
        <v>#N/A</v>
      </c>
      <c r="T274" s="19" t="e">
        <v>#N/A</v>
      </c>
      <c r="U274" s="19" t="e">
        <v>#N/A</v>
      </c>
      <c r="V274" s="19" t="e">
        <v>#N/A</v>
      </c>
      <c r="W274" s="28" t="s">
        <v>41</v>
      </c>
      <c r="X274" s="19" t="e">
        <v>#N/A</v>
      </c>
      <c r="Y274" s="105">
        <f ca="1">IFERROR(OFFSET(Tab.Const.ConstrBorder!$A$1,MATCH(Q274,Tab.Const.ConstrBorder!$A:$A,0)-1,MATCH(Y$87,Tab.Const.ConstrBorder!$1:$1,0)-1),0)</f>
        <v>0</v>
      </c>
      <c r="Z274" s="18">
        <f t="shared" si="188"/>
        <v>1960</v>
      </c>
      <c r="AA274" s="17">
        <f>MATCH(Z274,Tab.Year.Period!$11:$11,1)-3</f>
        <v>5</v>
      </c>
      <c r="AB274" s="17">
        <f>MATCH(AB$88&amp;"."&amp;TEXT(AA274,"00"),Tab.U.Default!$A:$A,0)</f>
        <v>28</v>
      </c>
      <c r="AC274" s="105">
        <f ca="1">OFFSET(Tab.U.Default!$A$1,$AB274-1,MATCH("U_Class_"&amp;IF($J274="TopCeiling","UpperCeiling",$J274)&amp;"_"&amp;AC$87,Tab.U.Default!$1:$1,0)-1)</f>
        <v>1.1000000000000001</v>
      </c>
      <c r="AD274" s="105">
        <f ca="1">OFFSET(Tab.U.Default!$A$1,$AB274-1,MATCH("U_Class_"&amp;IF($J274="TopCeiling","UpperCeiling",$J274)&amp;"_"&amp;AD$87,Tab.U.Default!$1:$1,0)-1)</f>
        <v>1.3</v>
      </c>
      <c r="AE274" s="105">
        <f ca="1">OFFSET(Tab.U.Default!$A$1,$AB274-1,MATCH("U_Class_"&amp;IF($J274="TopCeiling","UpperCeiling",$J274)&amp;"_"&amp;AE$87,Tab.U.Default!$1:$1,0)-1)</f>
        <v>0.8</v>
      </c>
      <c r="AF274" s="26">
        <f t="shared" ca="1" si="189"/>
        <v>1.1000000000000001</v>
      </c>
      <c r="AG274" s="26">
        <f t="shared" ca="1" si="259"/>
        <v>1.1000000000000001</v>
      </c>
      <c r="AH274" s="18" t="str">
        <f t="shared" si="246"/>
        <v>Refurbish</v>
      </c>
      <c r="AI274" s="18" t="str">
        <f t="shared" si="274"/>
        <v>Add</v>
      </c>
      <c r="AJ274" s="18">
        <f t="shared" si="192"/>
        <v>1995</v>
      </c>
      <c r="AK274" s="17">
        <f>MATCH(AJ274,Tab.Year.Period!$11:$11,1)-3</f>
        <v>9</v>
      </c>
      <c r="AL274" s="17">
        <f>MATCH(AL$88&amp;"."&amp;TEXT(AK274,"00"),Tab.Insulation.Default!$A:$A,0)</f>
        <v>20</v>
      </c>
      <c r="AM274" s="20">
        <f ca="1">IF(ISNA(IF(S274="",#N/A,S274)),OFFSET(Tab.Insulation.Default!$A$1,$AL274-1,MATCH(AM$87&amp;"_"&amp;$K274,Tab.Insulation.Default!$1:$1,0)-1),#N/A)</f>
        <v>12</v>
      </c>
      <c r="AN274" s="27">
        <f t="shared" ca="1" si="193"/>
        <v>12</v>
      </c>
      <c r="AO274" s="22">
        <f ca="1">IF(ISNA(IF(V274="",#N/A,V274)),OFFSET(Tab.Insulation.Default!$A$1,$AL274-1,MATCH(AO$87&amp;"_"&amp;$K274,Tab.Insulation.Default!$1:$1,0)-1),#N/A)</f>
        <v>0.04</v>
      </c>
      <c r="AP274" s="23">
        <f t="shared" ca="1" si="194"/>
        <v>0.04</v>
      </c>
      <c r="AQ274" s="29" t="str">
        <f t="shared" si="247"/>
        <v>Gen.Refurbished.09</v>
      </c>
      <c r="AR274" s="17">
        <f>MATCH(AR$88&amp;"."&amp;AQ274,Tab.Measure.f.Default!$A:$A,0)</f>
        <v>20</v>
      </c>
      <c r="AS274" s="21">
        <f ca="1">OFFSET(Tab.Measure.f.Default!$A$1,AR274-1,MATCH(AS$87&amp;"_"&amp;$K274,Tab.Measure.f.Default!$1:$1,0)-1)</f>
        <v>0.9</v>
      </c>
      <c r="AT274" s="29" t="str">
        <f t="shared" si="248"/>
        <v>MUH.NA.05</v>
      </c>
      <c r="AU274" s="17">
        <f>MATCH(AU$88&amp;"."&amp;AT274,Tab.Measure.f.Default!$A:$A,0)</f>
        <v>40</v>
      </c>
      <c r="AV274" s="21">
        <f ca="1">OFFSET(Tab.Measure.f.Default!$A$1,AU274-1,MATCH(AV$87&amp;"_"&amp;$J274,Tab.Measure.f.Default!$1:$1,0)-1)</f>
        <v>0.62</v>
      </c>
      <c r="AW274" s="30">
        <f t="shared" ca="1" si="195"/>
        <v>0.62</v>
      </c>
      <c r="AX274" s="9">
        <f t="shared" ca="1" si="249"/>
        <v>0.90909090909090906</v>
      </c>
      <c r="AY274" s="9">
        <f t="shared" ca="1" si="250"/>
        <v>3</v>
      </c>
      <c r="AZ274" s="9">
        <f t="shared" ca="1" si="275"/>
        <v>3.9090909090909092</v>
      </c>
      <c r="BA274" s="9">
        <f t="shared" ca="1" si="276"/>
        <v>0.2558139534883721</v>
      </c>
      <c r="BB274" s="9">
        <f t="shared" ca="1" si="251"/>
        <v>0.57660465116279069</v>
      </c>
      <c r="BC274" s="32" t="str">
        <f t="shared" si="252"/>
        <v>D</v>
      </c>
      <c r="BD274" s="20" t="str">
        <f ca="1">OFFSET(Tab.Uncertainty.Levels!$A$1,MATCH(BD$88,Tab.Uncertainty.Levels!$A:$A,0)-1,MATCH(BD$87&amp;"_"&amp;BC274,Tab.Uncertainty.Levels!$1:$1,0)-1)</f>
        <v>Use of default values; building constructed until 1983</v>
      </c>
      <c r="BE274" s="24">
        <f ca="1">OFFSET(Tab.Uncertainty.Levels!$A$1,MATCH(BE$88,Tab.Uncertainty.Levels!$A:$A,0)-1,MATCH(BE$87&amp;"_"&amp;BC274,Tab.Uncertainty.Levels!$1:$1,0)-1)</f>
        <v>0.3</v>
      </c>
      <c r="BF274" s="32" t="str">
        <f t="shared" si="253"/>
        <v>-</v>
      </c>
      <c r="BG274" s="20" t="e">
        <f ca="1">OFFSET(Tab.Uncertainty.Levels!$A$1,MATCH(BG$88,Tab.Uncertainty.Levels!$A:$A,0)-1,MATCH(BG$87&amp;"_"&amp;BF274,Tab.Uncertainty.Levels!$1:$1,0)-1)</f>
        <v>#N/A</v>
      </c>
      <c r="BH274" s="24" t="e">
        <f ca="1">OFFSET(Tab.Uncertainty.Levels!$A$1,MATCH(BH$88,Tab.Uncertainty.Levels!$A:$A,0)-1,MATCH(BH$87&amp;"_"&amp;BF274,Tab.Uncertainty.Levels!$1:$1,0)-1)</f>
        <v>#N/A</v>
      </c>
      <c r="BI274" s="32" t="str">
        <f t="shared" si="224"/>
        <v>D</v>
      </c>
      <c r="BJ274" s="13">
        <f t="shared" ca="1" si="277"/>
        <v>0.3</v>
      </c>
      <c r="BK274" s="32" t="str">
        <f>IF(OR($L274="NoDataSource",IFERROR(IF($S274="",#N/A,$S274),0)=0),IF(IFERROR(IF(U274="",#N/A,U274),0)=0,"E","D"),IF($L274="DesignDataPlusQA","A",IF($L274="DesignData","B","C")))</f>
        <v>E</v>
      </c>
      <c r="BL274" s="20" t="str">
        <f ca="1">OFFSET(Tab.Uncertainty.Levels!$A$1,MATCH(BL$88,Tab.Uncertainty.Levels!$A:$A,0)-1,MATCH(BL$87&amp;"_"&amp;BK274,Tab.Uncertainty.Levels!$1:$1,0)-1)</f>
        <v>Insulation available; insulation thickness and year of implementation unknown</v>
      </c>
      <c r="BM274" s="24">
        <f ca="1">OFFSET(Tab.Uncertainty.Levels!$A$1,MATCH(BM$88,Tab.Uncertainty.Levels!$A:$A,0)-1,MATCH(BM$87&amp;"_"&amp;BK274,Tab.Uncertainty.Levels!$1:$1,0)-1)</f>
        <v>0.5</v>
      </c>
      <c r="BN274" s="34">
        <f ca="1">OFFSET(Tab.Uncertainty.Levels!$A$1,MATCH(BN$88,Tab.Uncertainty.Levels!$A:$A,0)-1,MATCH(BN$87&amp;"_"&amp;BK274,Tab.Uncertainty.Levels!$1:$1,0)-1)</f>
        <v>8</v>
      </c>
      <c r="BO274" s="13">
        <f ca="1">IFERROR(MIN(BM274,BN274/AN274),0)</f>
        <v>0.5</v>
      </c>
      <c r="BP274" s="32" t="str">
        <f>IF(OR($L274="NoDataSource",IFERROR(IF($V274="",#N/A,$V274),0)=0),IF(IFERROR(IF(U274="",#N/A,U274),0)=0,"E","D"),IF($L274="DesignDataPlusQA","A",IF($L274="DesignData","B","C")))</f>
        <v>E</v>
      </c>
      <c r="BQ274" s="20" t="str">
        <f ca="1">OFFSET(Tab.Uncertainty.Levels!$A$1,MATCH(BQ$88,Tab.Uncertainty.Levels!$A:$A,0)-1,MATCH(BQ$87&amp;"_"&amp;BP274,Tab.Uncertainty.Levels!$1:$1,0)-1)</f>
        <v>Insulation available; no information about material and year of implementation</v>
      </c>
      <c r="BR274" s="97">
        <f ca="1">OFFSET(Tab.Uncertainty.Levels!$A$1,MATCH(BR$88,Tab.Uncertainty.Levels!$A:$A,0)-1,MATCH(BR$87&amp;"_"&amp;BP274,Tab.Uncertainty.Levels!$1:$1,0)-1)</f>
        <v>0.3</v>
      </c>
      <c r="BS274" s="32" t="str">
        <f>IF(L274="NoDataSource","D",IF(IFERROR(IF($T274="",#N/A,$T274),0)=0,IF(OR(IFERROR(IF($S274="",#N/A,$S274),0)&gt;0,$R274="Refurbish"),"D","E"),IF($L274="DesignDataPlusQA","A",IF($L274="DesignData","B","C"))))</f>
        <v>E</v>
      </c>
      <c r="BT274" s="20" t="str">
        <f ca="1">OFFSET(Tab.Uncertainty.Levels!$A$1,MATCH(BT$88,Tab.Uncertainty.Levels!$A:$A,0)-1,MATCH(BT$87&amp;"_"&amp;BS274,Tab.Uncertainty.Levels!$1:$1,0)-1)</f>
        <v>Unknown if insulation has been applied (default fraction value is the average insulation fraction for all buildings)</v>
      </c>
      <c r="BU274" s="33">
        <f ca="1">OFFSET(Tab.Uncertainty.Levels!$A$1,MATCH(BU$88,Tab.Uncertainty.Levels!$A:$A,0)-1,MATCH(BU$87&amp;"_"&amp;BS274,Tab.Uncertainty.Levels!$1:$1,0)-1)</f>
        <v>0.5</v>
      </c>
      <c r="BV274" s="13">
        <f ca="1">IFERROR(MIN(BU274/AW274,1,(1-AW274)/AW274),0)</f>
        <v>0.61290322580645162</v>
      </c>
      <c r="BW274" s="96">
        <f ca="1">ABS(1+(AW274*(1/(1+AN274/100/AP274*AG274)^2-1)))*BJ274*$AG274</f>
        <v>0.13646544077879935</v>
      </c>
      <c r="BX274" s="96">
        <f ca="1">ABS(-AG274+1/(1/AG274+AN274/100/AP274))*BV274*AW274</f>
        <v>0.32079069767441865</v>
      </c>
      <c r="BY274" s="96">
        <f ca="1">ABS(-AW274*AP274/((AP274/AG274+AN274/100)^2))*(BO274*AN274/100)</f>
        <v>6.085992428339642E-2</v>
      </c>
      <c r="BZ274" s="202">
        <f ca="1">ABS(AW274*AN274/100/(1/AG274*AP274+AN274/100)^2)*(BR274*AP274)</f>
        <v>3.6515954570037853E-2</v>
      </c>
      <c r="CA274" s="103">
        <f t="shared" ca="1" si="198"/>
        <v>0.35576232735259378</v>
      </c>
      <c r="CB274" s="37">
        <f t="shared" ca="1" si="254"/>
        <v>0.23667072491281649</v>
      </c>
      <c r="CC274" s="37">
        <f t="shared" ca="1" si="255"/>
        <v>0.55634427684117138</v>
      </c>
      <c r="CD274" s="37">
        <f t="shared" ca="1" si="256"/>
        <v>0.10554879181197249</v>
      </c>
      <c r="CE274" s="37">
        <f t="shared" ca="1" si="257"/>
        <v>6.3329275087183501E-2</v>
      </c>
      <c r="CF274" s="13">
        <f t="shared" ca="1" si="258"/>
        <v>0.61699524385583338</v>
      </c>
      <c r="CG274" s="101">
        <f ca="1">AG274</f>
        <v>1.1000000000000001</v>
      </c>
      <c r="CH274" s="101">
        <f ca="1">AW274</f>
        <v>0.62</v>
      </c>
      <c r="CI274" s="203">
        <f ca="1">IF(CH274&gt;0,AN274,0)</f>
        <v>12</v>
      </c>
      <c r="CJ274" s="102">
        <f ca="1">IF(AND(CH274&gt;0,CI274&gt;0),AP274,0)</f>
        <v>0.04</v>
      </c>
      <c r="CK274" s="102">
        <f ca="1">BB274</f>
        <v>0.57660465116279069</v>
      </c>
      <c r="CL274" s="37">
        <f t="shared" ca="1" si="264"/>
        <v>0.3</v>
      </c>
      <c r="CM274" s="37">
        <f t="shared" ca="1" si="265"/>
        <v>0.61290322580645162</v>
      </c>
      <c r="CN274" s="37">
        <f t="shared" ca="1" si="266"/>
        <v>0.5</v>
      </c>
      <c r="CO274" s="37">
        <f t="shared" ca="1" si="267"/>
        <v>0.3</v>
      </c>
      <c r="CP274" s="37">
        <f t="shared" ca="1" si="268"/>
        <v>0.61699524385583338</v>
      </c>
      <c r="CQ274" s="95">
        <f t="shared" ca="1" si="269"/>
        <v>0.33</v>
      </c>
      <c r="CR274" s="95">
        <f t="shared" ca="1" si="270"/>
        <v>0.38</v>
      </c>
      <c r="CS274" s="95">
        <f t="shared" ca="1" si="271"/>
        <v>6</v>
      </c>
      <c r="CT274" s="103">
        <f t="shared" ca="1" si="272"/>
        <v>1.2E-2</v>
      </c>
      <c r="CU274" s="95">
        <f t="shared" ca="1" si="273"/>
        <v>0.35576232735259378</v>
      </c>
      <c r="CV274" s="37">
        <f ca="1">$CB274^2/$CF274^2</f>
        <v>0.14713820360871338</v>
      </c>
      <c r="CW274" s="37">
        <f ca="1">$CD274^2/$CF274^2</f>
        <v>2.9264620750169088E-2</v>
      </c>
      <c r="CX274" s="37">
        <f ca="1">$CE274^2/$CF274^2</f>
        <v>1.0535263470060875E-2</v>
      </c>
      <c r="CY274" s="37">
        <f ca="1">$CC274^2/$CF274^2</f>
        <v>0.81306191217105661</v>
      </c>
      <c r="DA274" s="98" t="s">
        <v>214</v>
      </c>
      <c r="DB274" s="36">
        <f ca="1">OFFSET($A$1,ROW(DB274)-1,MATCH(DA274,$1:$1,0)-1)</f>
        <v>12</v>
      </c>
      <c r="DC274" s="9">
        <f ca="1">BB274</f>
        <v>0.57660465116279069</v>
      </c>
      <c r="DD274" s="9">
        <f ca="1">$DC274+$CA274</f>
        <v>0.93236697851538453</v>
      </c>
      <c r="DE274" s="9">
        <f ca="1">$DC274-$CA274</f>
        <v>0.22084232381019692</v>
      </c>
      <c r="DF274" s="10">
        <f t="shared" ca="1" si="245"/>
        <v>0.61699524385583349</v>
      </c>
    </row>
    <row r="275" spans="1:110" s="8" customFormat="1" ht="32.4" customHeight="1">
      <c r="A275" s="206" t="s">
        <v>746</v>
      </c>
      <c r="B275" s="210" t="s">
        <v>2350</v>
      </c>
      <c r="C275" s="206" t="s">
        <v>1018</v>
      </c>
      <c r="D275" s="206"/>
      <c r="E275" s="206"/>
      <c r="F275" s="206"/>
      <c r="G275" s="206"/>
      <c r="H275" s="207"/>
      <c r="I275" s="156" t="s">
        <v>80</v>
      </c>
      <c r="J275" s="156" t="s">
        <v>1010</v>
      </c>
      <c r="K275" s="156" t="s">
        <v>1010</v>
      </c>
      <c r="L275" s="156" t="s">
        <v>190</v>
      </c>
      <c r="M275" s="156" t="s">
        <v>188</v>
      </c>
      <c r="N275" s="7">
        <v>1960</v>
      </c>
      <c r="O275" s="156" t="e">
        <v>#N/A</v>
      </c>
      <c r="P275" s="156" t="e">
        <v>#N/A</v>
      </c>
      <c r="Q275" s="156" t="s">
        <v>435</v>
      </c>
      <c r="R275" s="156" t="s">
        <v>58</v>
      </c>
      <c r="S275" s="19" t="e">
        <v>#N/A</v>
      </c>
      <c r="T275" s="19" t="e">
        <v>#N/A</v>
      </c>
      <c r="U275" s="19">
        <v>1990</v>
      </c>
      <c r="V275" s="19" t="e">
        <v>#N/A</v>
      </c>
      <c r="W275" s="28" t="s">
        <v>59</v>
      </c>
      <c r="X275" s="19" t="e">
        <v>#N/A</v>
      </c>
      <c r="Y275" s="105">
        <f ca="1">IFERROR(OFFSET(Tab.Const.ConstrBorder!$A$1,MATCH(Q275,Tab.Const.ConstrBorder!$A:$A,0)-1,MATCH(Y$87,Tab.Const.ConstrBorder!$1:$1,0)-1),0)</f>
        <v>0</v>
      </c>
      <c r="Z275" s="18">
        <f t="shared" si="188"/>
        <v>1960</v>
      </c>
      <c r="AA275" s="17">
        <f>MATCH(Z275,Tab.Year.Period!$11:$11,1)-3</f>
        <v>5</v>
      </c>
      <c r="AB275" s="17">
        <f>MATCH(AB$88&amp;"."&amp;TEXT(AA275,"00"),Tab.U.Default!$A:$A,0)</f>
        <v>28</v>
      </c>
      <c r="AC275" s="105">
        <f ca="1">OFFSET(Tab.U.Default!$A$1,$AB275-1,MATCH("U_Class_"&amp;IF($J275="TopCeiling","UpperCeiling",$J275)&amp;"_"&amp;AC$87,Tab.U.Default!$1:$1,0)-1)</f>
        <v>1.1000000000000001</v>
      </c>
      <c r="AD275" s="105">
        <f ca="1">OFFSET(Tab.U.Default!$A$1,$AB275-1,MATCH("U_Class_"&amp;IF($J275="TopCeiling","UpperCeiling",$J275)&amp;"_"&amp;AD$87,Tab.U.Default!$1:$1,0)-1)</f>
        <v>1.3</v>
      </c>
      <c r="AE275" s="105">
        <f ca="1">OFFSET(Tab.U.Default!$A$1,$AB275-1,MATCH("U_Class_"&amp;IF($J275="TopCeiling","UpperCeiling",$J275)&amp;"_"&amp;AE$87,Tab.U.Default!$1:$1,0)-1)</f>
        <v>0.8</v>
      </c>
      <c r="AF275" s="26">
        <f t="shared" ref="AF275" ca="1" si="278">IF(AND(NOT(M275="Manual"),ISNA(IF(X275="",#N/A,X275))),IF(IFERROR(IF(O275="",#N/A,O275),0)=1,IF(IFERROR(IF(P275="",#N/A,P275),0)=1,AVERAGE(AD275:AE275),AD275),IF(IFERROR(IF(P275="",#N/A,P275),0)=1,AE275,AC275)),X275)</f>
        <v>1.1000000000000001</v>
      </c>
      <c r="AG275" s="26">
        <f t="shared" ca="1" si="259"/>
        <v>1.1000000000000001</v>
      </c>
      <c r="AH275" s="18" t="str">
        <f t="shared" si="246"/>
        <v>Refurbish</v>
      </c>
      <c r="AI275" s="18" t="str">
        <f t="shared" si="274"/>
        <v>Add</v>
      </c>
      <c r="AJ275" s="18">
        <f t="shared" ref="AJ275" si="279">IFERROR(IF(U275="",#N/A,U275),IF(OR(Z275&gt;=AJ$88,R275="Original"),Z275,AJ$88))</f>
        <v>1990</v>
      </c>
      <c r="AK275" s="17">
        <f>MATCH(AJ275,Tab.Year.Period!$11:$11,1)-3</f>
        <v>8</v>
      </c>
      <c r="AL275" s="17">
        <f>MATCH(AL$88&amp;"."&amp;TEXT(AK275,"00"),Tab.Insulation.Default!$A:$A,0)</f>
        <v>19</v>
      </c>
      <c r="AM275" s="20">
        <f ca="1">IF(ISNA(IF(S275="",#N/A,S275)),OFFSET(Tab.Insulation.Default!$A$1,$AL275-1,MATCH(AM$87&amp;"_"&amp;$K275,Tab.Insulation.Default!$1:$1,0)-1),#N/A)</f>
        <v>9</v>
      </c>
      <c r="AN275" s="27">
        <f t="shared" ca="1" si="193"/>
        <v>9</v>
      </c>
      <c r="AO275" s="22">
        <f ca="1">IF(ISNA(IF(V275="",#N/A,V275)),OFFSET(Tab.Insulation.Default!$A$1,$AL275-1,MATCH(AO$87&amp;"_"&amp;$K275,Tab.Insulation.Default!$1:$1,0)-1),#N/A)</f>
        <v>0.04</v>
      </c>
      <c r="AP275" s="23">
        <f t="shared" ca="1" si="194"/>
        <v>0.04</v>
      </c>
      <c r="AQ275" s="29" t="str">
        <f t="shared" si="247"/>
        <v>Gen.Refurbished.08</v>
      </c>
      <c r="AR275" s="17">
        <f>MATCH(AR$88&amp;"."&amp;AQ275,Tab.Measure.f.Default!$A:$A,0)</f>
        <v>19</v>
      </c>
      <c r="AS275" s="21">
        <f ca="1">OFFSET(Tab.Measure.f.Default!$A$1,AR275-1,MATCH(AS$87&amp;"_"&amp;$K275,Tab.Measure.f.Default!$1:$1,0)-1)</f>
        <v>0.9</v>
      </c>
      <c r="AT275" s="29" t="str">
        <f t="shared" si="248"/>
        <v>MUH.NA.05</v>
      </c>
      <c r="AU275" s="17">
        <f>MATCH(AU$88&amp;"."&amp;AT275,Tab.Measure.f.Default!$A:$A,0)</f>
        <v>40</v>
      </c>
      <c r="AV275" s="21">
        <f ca="1">OFFSET(Tab.Measure.f.Default!$A$1,AU275-1,MATCH(AV$87&amp;"_"&amp;$J275,Tab.Measure.f.Default!$1:$1,0)-1)</f>
        <v>0.62</v>
      </c>
      <c r="AW275" s="30">
        <f t="shared" ca="1" si="195"/>
        <v>0.9</v>
      </c>
      <c r="AX275" s="9">
        <f t="shared" ca="1" si="249"/>
        <v>0.90909090909090906</v>
      </c>
      <c r="AY275" s="9">
        <f t="shared" ca="1" si="250"/>
        <v>2.25</v>
      </c>
      <c r="AZ275" s="9">
        <f t="shared" ca="1" si="275"/>
        <v>3.1590909090909092</v>
      </c>
      <c r="BA275" s="9">
        <f t="shared" ca="1" si="276"/>
        <v>0.31654676258992803</v>
      </c>
      <c r="BB275" s="9">
        <f t="shared" ca="1" si="251"/>
        <v>0.3948920863309352</v>
      </c>
      <c r="BC275" s="32" t="str">
        <f t="shared" si="252"/>
        <v>D</v>
      </c>
      <c r="BD275" s="20" t="str">
        <f ca="1">OFFSET(Tab.Uncertainty.Levels!$A$1,MATCH(BD$88,Tab.Uncertainty.Levels!$A:$A,0)-1,MATCH(BD$87&amp;"_"&amp;BC275,Tab.Uncertainty.Levels!$1:$1,0)-1)</f>
        <v>Use of default values; building constructed until 1983</v>
      </c>
      <c r="BE275" s="24">
        <f ca="1">OFFSET(Tab.Uncertainty.Levels!$A$1,MATCH(BE$88,Tab.Uncertainty.Levels!$A:$A,0)-1,MATCH(BE$87&amp;"_"&amp;BC275,Tab.Uncertainty.Levels!$1:$1,0)-1)</f>
        <v>0.3</v>
      </c>
      <c r="BF275" s="32" t="str">
        <f t="shared" si="253"/>
        <v>-</v>
      </c>
      <c r="BG275" s="20" t="e">
        <f ca="1">OFFSET(Tab.Uncertainty.Levels!$A$1,MATCH(BG$88,Tab.Uncertainty.Levels!$A:$A,0)-1,MATCH(BG$87&amp;"_"&amp;BF275,Tab.Uncertainty.Levels!$1:$1,0)-1)</f>
        <v>#N/A</v>
      </c>
      <c r="BH275" s="24" t="e">
        <f ca="1">OFFSET(Tab.Uncertainty.Levels!$A$1,MATCH(BH$88,Tab.Uncertainty.Levels!$A:$A,0)-1,MATCH(BH$87&amp;"_"&amp;BF275,Tab.Uncertainty.Levels!$1:$1,0)-1)</f>
        <v>#N/A</v>
      </c>
      <c r="BI275" s="32" t="str">
        <f t="shared" si="224"/>
        <v>D</v>
      </c>
      <c r="BJ275" s="13">
        <f t="shared" ca="1" si="277"/>
        <v>0.3</v>
      </c>
      <c r="BK275" s="32" t="str">
        <f>IF(OR($L275="NoDataSource",IFERROR(IF($S275="",#N/A,$S275),0)=0),IF(IFERROR(IF(U275="",#N/A,U275),0)=0,"E","D"),IF($L275="DesignDataPlusQA","A",IF($L275="DesignData","B","C")))</f>
        <v>D</v>
      </c>
      <c r="BL275" s="20" t="str">
        <f ca="1">OFFSET(Tab.Uncertainty.Levels!$A$1,MATCH(BL$88,Tab.Uncertainty.Levels!$A:$A,0)-1,MATCH(BL$87&amp;"_"&amp;BK275,Tab.Uncertainty.Levels!$1:$1,0)-1)</f>
        <v>Insulation available; insulation thickness unknown</v>
      </c>
      <c r="BM275" s="24">
        <f ca="1">OFFSET(Tab.Uncertainty.Levels!$A$1,MATCH(BM$88,Tab.Uncertainty.Levels!$A:$A,0)-1,MATCH(BM$87&amp;"_"&amp;BK275,Tab.Uncertainty.Levels!$1:$1,0)-1)</f>
        <v>0.4</v>
      </c>
      <c r="BN275" s="34">
        <f ca="1">OFFSET(Tab.Uncertainty.Levels!$A$1,MATCH(BN$88,Tab.Uncertainty.Levels!$A:$A,0)-1,MATCH(BN$87&amp;"_"&amp;BK275,Tab.Uncertainty.Levels!$1:$1,0)-1)</f>
        <v>5</v>
      </c>
      <c r="BO275" s="13">
        <f ca="1">IFERROR(MIN(BM275,BN275/AN275),0)</f>
        <v>0.4</v>
      </c>
      <c r="BP275" s="32" t="str">
        <f>IF(OR($L275="NoDataSource",IFERROR(IF($V275="",#N/A,$V275),0)=0),IF(IFERROR(IF(U275="",#N/A,U275),0)=0,"E","D"),IF($L275="DesignDataPlusQA","A",IF($L275="DesignData","B","C")))</f>
        <v>D</v>
      </c>
      <c r="BQ275" s="20" t="str">
        <f ca="1">OFFSET(Tab.Uncertainty.Levels!$A$1,MATCH(BQ$88,Tab.Uncertainty.Levels!$A:$A,0)-1,MATCH(BQ$87&amp;"_"&amp;BP275,Tab.Uncertainty.Levels!$1:$1,0)-1)</f>
        <v>Insulation available; no information about material</v>
      </c>
      <c r="BR275" s="97">
        <f ca="1">OFFSET(Tab.Uncertainty.Levels!$A$1,MATCH(BR$88,Tab.Uncertainty.Levels!$A:$A,0)-1,MATCH(BR$87&amp;"_"&amp;BP275,Tab.Uncertainty.Levels!$1:$1,0)-1)</f>
        <v>0.2</v>
      </c>
      <c r="BS275" s="32" t="str">
        <f>IF(L275="NoDataSource","D",IF(IFERROR(IF($T275="",#N/A,$T275),0)=0,IF(OR(IFERROR(IF($S275="",#N/A,$S275),0)&gt;0,$R275="Refurbish"),"D","E"),IF($L275="DesignDataPlusQA","A",IF($L275="DesignData","B","C"))))</f>
        <v>D</v>
      </c>
      <c r="BT275" s="20" t="str">
        <f ca="1">OFFSET(Tab.Uncertainty.Levels!$A$1,MATCH(BT$88,Tab.Uncertainty.Levels!$A:$A,0)-1,MATCH(BT$87&amp;"_"&amp;BS275,Tab.Uncertainty.Levels!$1:$1,0)-1)</f>
        <v>Insulation has been applied, but no information about insulation fraction (default fraction value is the average insulation fraction for all insulated buildings)</v>
      </c>
      <c r="BU275" s="33">
        <f ca="1">OFFSET(Tab.Uncertainty.Levels!$A$1,MATCH(BU$88,Tab.Uncertainty.Levels!$A:$A,0)-1,MATCH(BU$87&amp;"_"&amp;BS275,Tab.Uncertainty.Levels!$1:$1,0)-1)</f>
        <v>0.3</v>
      </c>
      <c r="BV275" s="13">
        <f ca="1">IFERROR(MIN(BU275/AW275,1,(1-AW275)/AW275),0)</f>
        <v>0.11111111111111108</v>
      </c>
      <c r="BW275" s="96">
        <f ca="1">ABS(1+(AW275*(1/(1+AN275/100/AP275*AG275)^2-1)))*BJ275*$AG275</f>
        <v>5.7595000258785799E-2</v>
      </c>
      <c r="BX275" s="96">
        <f ca="1">ABS(-AG275+1/(1/AG275+AN275/100/AP275))*BV275*AW275</f>
        <v>7.8345323741007181E-2</v>
      </c>
      <c r="BY275" s="96">
        <f ca="1">ABS(-AW275*AP275/((AP275/AG275+AN275/100)^2))*(BO275*AN275/100)</f>
        <v>8.1163500853993098E-2</v>
      </c>
      <c r="BZ275" s="202">
        <f ca="1">ABS(AW275*AN275/100/(1/AG275*AP275+AN275/100)^2)*(BR275*AP275)</f>
        <v>4.0581750426996542E-2</v>
      </c>
      <c r="CA275" s="103">
        <f t="shared" ca="1" si="198"/>
        <v>0.1330021283494664</v>
      </c>
      <c r="CB275" s="37">
        <f t="shared" ca="1" si="254"/>
        <v>0.14584997332795094</v>
      </c>
      <c r="CC275" s="37">
        <f t="shared" ca="1" si="255"/>
        <v>0.19839679358717435</v>
      </c>
      <c r="CD275" s="37">
        <f t="shared" ca="1" si="256"/>
        <v>0.20553336889606563</v>
      </c>
      <c r="CE275" s="37">
        <f t="shared" ca="1" si="257"/>
        <v>0.10276668444803279</v>
      </c>
      <c r="CF275" s="13">
        <f t="shared" ca="1" si="258"/>
        <v>0.33680626417518367</v>
      </c>
      <c r="CG275" s="101">
        <f ca="1">AG275</f>
        <v>1.1000000000000001</v>
      </c>
      <c r="CH275" s="101">
        <f ca="1">AW275</f>
        <v>0.9</v>
      </c>
      <c r="CI275" s="203">
        <f ca="1">IF(CH275&gt;0,AN275,0)</f>
        <v>9</v>
      </c>
      <c r="CJ275" s="102">
        <f ca="1">IF(AND(CH275&gt;0,CI275&gt;0),AP275,0)</f>
        <v>0.04</v>
      </c>
      <c r="CK275" s="102">
        <f ca="1">BB275</f>
        <v>0.3948920863309352</v>
      </c>
      <c r="CL275" s="37">
        <f t="shared" ca="1" si="264"/>
        <v>0.3</v>
      </c>
      <c r="CM275" s="37">
        <f t="shared" ca="1" si="265"/>
        <v>0.11111111111111108</v>
      </c>
      <c r="CN275" s="37">
        <f t="shared" ca="1" si="266"/>
        <v>0.4</v>
      </c>
      <c r="CO275" s="37">
        <f t="shared" ca="1" si="267"/>
        <v>0.2</v>
      </c>
      <c r="CP275" s="37">
        <f t="shared" ca="1" si="268"/>
        <v>0.33680626417518367</v>
      </c>
      <c r="CQ275" s="95">
        <f t="shared" ca="1" si="269"/>
        <v>0.33</v>
      </c>
      <c r="CR275" s="95">
        <f t="shared" ca="1" si="270"/>
        <v>9.9999999999999978E-2</v>
      </c>
      <c r="CS275" s="95">
        <f t="shared" ca="1" si="271"/>
        <v>3.6</v>
      </c>
      <c r="CT275" s="103">
        <f t="shared" ca="1" si="272"/>
        <v>8.0000000000000002E-3</v>
      </c>
      <c r="CU275" s="95">
        <f t="shared" ca="1" si="273"/>
        <v>0.1330021283494664</v>
      </c>
      <c r="CV275" s="37">
        <f ca="1">$CB275^2/$CF275^2</f>
        <v>0.18752206964983414</v>
      </c>
      <c r="CW275" s="37">
        <f ca="1">$CD275^2/$CF275^2</f>
        <v>0.37239544580670297</v>
      </c>
      <c r="CX275" s="37">
        <f ca="1">$CE275^2/$CF275^2</f>
        <v>9.3098861451675702E-2</v>
      </c>
      <c r="CY275" s="37">
        <f ca="1">$CC275^2/$CF275^2</f>
        <v>0.34698362309178721</v>
      </c>
      <c r="DA275" s="98" t="s">
        <v>214</v>
      </c>
      <c r="DB275" s="36">
        <f ca="1">OFFSET($A$1,ROW(DB275)-1,MATCH(DA275,$1:$1,0)-1)</f>
        <v>9</v>
      </c>
      <c r="DC275" s="9">
        <f ca="1">BB275</f>
        <v>0.3948920863309352</v>
      </c>
      <c r="DD275" s="9">
        <f ca="1">$DC275+$CA275</f>
        <v>0.52789421468040154</v>
      </c>
      <c r="DE275" s="9">
        <f ca="1">$DC275-$CA275</f>
        <v>0.2618899579814688</v>
      </c>
      <c r="DF275" s="10">
        <f t="shared" ca="1" si="245"/>
        <v>0.33680626417518361</v>
      </c>
    </row>
    <row r="276" spans="1:110" s="8" customFormat="1" ht="32.4" customHeight="1">
      <c r="A276" s="206" t="s">
        <v>1014</v>
      </c>
      <c r="B276" s="210" t="s">
        <v>2350</v>
      </c>
      <c r="C276" s="206" t="s">
        <v>1027</v>
      </c>
      <c r="D276" s="206"/>
      <c r="E276" s="206"/>
      <c r="F276" s="206"/>
      <c r="G276" s="206"/>
      <c r="H276" s="207"/>
      <c r="I276" s="156" t="s">
        <v>80</v>
      </c>
      <c r="J276" s="156" t="s">
        <v>1010</v>
      </c>
      <c r="K276" s="156" t="s">
        <v>1010</v>
      </c>
      <c r="L276" s="156" t="s">
        <v>190</v>
      </c>
      <c r="M276" s="156" t="s">
        <v>188</v>
      </c>
      <c r="N276" s="7">
        <v>1960</v>
      </c>
      <c r="O276" s="156" t="e">
        <v>#N/A</v>
      </c>
      <c r="P276" s="156" t="e">
        <v>#N/A</v>
      </c>
      <c r="Q276" s="156" t="s">
        <v>435</v>
      </c>
      <c r="R276" s="156" t="s">
        <v>58</v>
      </c>
      <c r="S276" s="19" t="e">
        <v>#N/A</v>
      </c>
      <c r="T276" s="19" t="e">
        <v>#N/A</v>
      </c>
      <c r="U276" s="19">
        <v>2017</v>
      </c>
      <c r="V276" s="19" t="e">
        <v>#N/A</v>
      </c>
      <c r="W276" s="28" t="s">
        <v>59</v>
      </c>
      <c r="X276" s="19" t="e">
        <v>#N/A</v>
      </c>
      <c r="Y276" s="105">
        <f ca="1">IFERROR(OFFSET(Tab.Const.ConstrBorder!$A$1,MATCH(Q276,Tab.Const.ConstrBorder!$A:$A,0)-1,MATCH(Y$87,Tab.Const.ConstrBorder!$1:$1,0)-1),0)</f>
        <v>0</v>
      </c>
      <c r="Z276" s="18">
        <f t="shared" ref="Z276" si="280">IFERROR(IF(OR(N276="",N276=0),#N/A,N276),Z$88)</f>
        <v>1960</v>
      </c>
      <c r="AA276" s="17">
        <f>MATCH(Z276,Tab.Year.Period!$11:$11,1)-3</f>
        <v>5</v>
      </c>
      <c r="AB276" s="17">
        <f>MATCH(AB$88&amp;"."&amp;TEXT(AA276,"00"),Tab.U.Default!$A:$A,0)</f>
        <v>28</v>
      </c>
      <c r="AC276" s="105">
        <f ca="1">OFFSET(Tab.U.Default!$A$1,$AB276-1,MATCH("U_Class_"&amp;IF($J276="TopCeiling","UpperCeiling",$J276)&amp;"_"&amp;AC$87,Tab.U.Default!$1:$1,0)-1)</f>
        <v>1.1000000000000001</v>
      </c>
      <c r="AD276" s="105">
        <f ca="1">OFFSET(Tab.U.Default!$A$1,$AB276-1,MATCH("U_Class_"&amp;IF($J276="TopCeiling","UpperCeiling",$J276)&amp;"_"&amp;AD$87,Tab.U.Default!$1:$1,0)-1)</f>
        <v>1.3</v>
      </c>
      <c r="AE276" s="105">
        <f ca="1">OFFSET(Tab.U.Default!$A$1,$AB276-1,MATCH("U_Class_"&amp;IF($J276="TopCeiling","UpperCeiling",$J276)&amp;"_"&amp;AE$87,Tab.U.Default!$1:$1,0)-1)</f>
        <v>0.8</v>
      </c>
      <c r="AF276" s="26">
        <f ca="1">IF(AND(NOT(M276="Manual"),ISNA(IF(X276="",#N/A,X276))),IF(IFERROR(IF(O276="",#N/A,O276),0)=1,IF(IFERROR(IF(P276="",#N/A,P276),0)=1,AVERAGE(AD276:AE276),AD276),IF(IFERROR(IF(P276="",#N/A,P276),0)=1,AE276,AC276)),X276)</f>
        <v>1.1000000000000001</v>
      </c>
      <c r="AG276" s="26">
        <f t="shared" ca="1" si="259"/>
        <v>1.1000000000000001</v>
      </c>
      <c r="AH276" s="18" t="str">
        <f t="shared" si="246"/>
        <v>Refurbish</v>
      </c>
      <c r="AI276" s="18" t="str">
        <f t="shared" ref="AI276" si="281">IF(W276&lt;&gt;"_NA_",W276,IF(R276="Original","ReplaceInsulation","Add"))</f>
        <v>Add</v>
      </c>
      <c r="AJ276" s="18">
        <f>IFERROR(IF(U276="",#N/A,U276),IF(OR(Z276&gt;=AJ$88,R276="Original"),Z276,AJ$88))</f>
        <v>2017</v>
      </c>
      <c r="AK276" s="17">
        <f>MATCH(AJ276,Tab.Year.Period!$11:$11,1)-3</f>
        <v>12</v>
      </c>
      <c r="AL276" s="17">
        <f>MATCH(AL$88&amp;"."&amp;TEXT(AK276,"00"),Tab.Insulation.Default!$A:$A,0)</f>
        <v>23</v>
      </c>
      <c r="AM276" s="20">
        <f ca="1">IF(ISNA(IF(S276="",#N/A,S276)),OFFSET(Tab.Insulation.Default!$A$1,$AL276-1,MATCH(AM$87&amp;"_"&amp;$K276,Tab.Insulation.Default!$1:$1,0)-1),#N/A)</f>
        <v>15</v>
      </c>
      <c r="AN276" s="27">
        <f t="shared" ref="AN276" ca="1" si="282">IFERROR(IF(S276="",#N/A,S276),IF(OR(R276="Refurbish",R276="_NA_"),AM276,0))</f>
        <v>15</v>
      </c>
      <c r="AO276" s="22">
        <f ca="1">IF(ISNA(IF(V276="",#N/A,V276)),OFFSET(Tab.Insulation.Default!$A$1,$AL276-1,MATCH(AO$87&amp;"_"&amp;$K276,Tab.Insulation.Default!$1:$1,0)-1),#N/A)</f>
        <v>3.5000000000000003E-2</v>
      </c>
      <c r="AP276" s="23">
        <f t="shared" ref="AP276" ca="1" si="283">IFERROR(IF(V276="",#N/A,V276),AO276)</f>
        <v>3.5000000000000003E-2</v>
      </c>
      <c r="AQ276" s="29" t="str">
        <f t="shared" si="247"/>
        <v>Gen.Refurbished.12</v>
      </c>
      <c r="AR276" s="17">
        <f>MATCH(AR$88&amp;"."&amp;AQ276,Tab.Measure.f.Default!$A:$A,0)</f>
        <v>23</v>
      </c>
      <c r="AS276" s="21">
        <f ca="1">OFFSET(Tab.Measure.f.Default!$A$1,AR276-1,MATCH(AS$87&amp;"_"&amp;$K276,Tab.Measure.f.Default!$1:$1,0)-1)</f>
        <v>0.9</v>
      </c>
      <c r="AT276" s="29" t="str">
        <f t="shared" si="248"/>
        <v>MUH.NA.05</v>
      </c>
      <c r="AU276" s="17">
        <f>MATCH(AU$88&amp;"."&amp;AT276,Tab.Measure.f.Default!$A:$A,0)</f>
        <v>40</v>
      </c>
      <c r="AV276" s="21">
        <f ca="1">OFFSET(Tab.Measure.f.Default!$A$1,AU276-1,MATCH(AV$87&amp;"_"&amp;$J276,Tab.Measure.f.Default!$1:$1,0)-1)</f>
        <v>0.62</v>
      </c>
      <c r="AW276" s="30">
        <f t="shared" ref="AW276" ca="1" si="284">IFERROR(IF(T276="",#N/A,T276),IF(R276="None",0,IF(R276="Refurbish",AS276,IF(R276="_NA_",IF(IFERROR(IF(S276="",#N/A,S276),0)&gt;=1,AS276,AV276),IF(IFERROR(IF(S276="",#N/A,S276),0)&gt;=1,1,0)))))</f>
        <v>0.9</v>
      </c>
      <c r="AX276" s="9">
        <f t="shared" ca="1" si="249"/>
        <v>0.90909090909090906</v>
      </c>
      <c r="AY276" s="9">
        <f t="shared" ca="1" si="250"/>
        <v>4.2857142857142856</v>
      </c>
      <c r="AZ276" s="9">
        <f t="shared" ref="AZ276" ca="1" si="285">AX276+AY276</f>
        <v>5.1948051948051948</v>
      </c>
      <c r="BA276" s="9">
        <f t="shared" ref="BA276" ca="1" si="286">1/AZ276</f>
        <v>0.1925</v>
      </c>
      <c r="BB276" s="9">
        <f t="shared" ca="1" si="251"/>
        <v>0.28325</v>
      </c>
      <c r="BC276" s="32" t="str">
        <f t="shared" si="252"/>
        <v>D</v>
      </c>
      <c r="BD276" s="20" t="str">
        <f ca="1">OFFSET(Tab.Uncertainty.Levels!$A$1,MATCH(BD$88,Tab.Uncertainty.Levels!$A:$A,0)-1,MATCH(BD$87&amp;"_"&amp;BC276,Tab.Uncertainty.Levels!$1:$1,0)-1)</f>
        <v>Use of default values; building constructed until 1983</v>
      </c>
      <c r="BE276" s="24">
        <f ca="1">OFFSET(Tab.Uncertainty.Levels!$A$1,MATCH(BE$88,Tab.Uncertainty.Levels!$A:$A,0)-1,MATCH(BE$87&amp;"_"&amp;BC276,Tab.Uncertainty.Levels!$1:$1,0)-1)</f>
        <v>0.3</v>
      </c>
      <c r="BF276" s="32" t="str">
        <f t="shared" si="253"/>
        <v>-</v>
      </c>
      <c r="BG276" s="20" t="e">
        <f ca="1">OFFSET(Tab.Uncertainty.Levels!$A$1,MATCH(BG$88,Tab.Uncertainty.Levels!$A:$A,0)-1,MATCH(BG$87&amp;"_"&amp;BF276,Tab.Uncertainty.Levels!$1:$1,0)-1)</f>
        <v>#N/A</v>
      </c>
      <c r="BH276" s="24" t="e">
        <f ca="1">OFFSET(Tab.Uncertainty.Levels!$A$1,MATCH(BH$88,Tab.Uncertainty.Levels!$A:$A,0)-1,MATCH(BH$87&amp;"_"&amp;BF276,Tab.Uncertainty.Levels!$1:$1,0)-1)</f>
        <v>#N/A</v>
      </c>
      <c r="BI276" s="32" t="str">
        <f t="shared" si="224"/>
        <v>D</v>
      </c>
      <c r="BJ276" s="13">
        <f t="shared" ref="BJ276" ca="1" si="287">IF(BF276="-",BE276,BH276)</f>
        <v>0.3</v>
      </c>
      <c r="BK276" s="32" t="str">
        <f>IF(OR($L276="NoDataSource",IFERROR(IF($S276="",#N/A,$S276),0)=0),IF(IFERROR(IF(U276="",#N/A,U276),0)=0,"E","D"),IF($L276="DesignDataPlusQA","A",IF($L276="DesignData","B","C")))</f>
        <v>D</v>
      </c>
      <c r="BL276" s="20" t="str">
        <f ca="1">OFFSET(Tab.Uncertainty.Levels!$A$1,MATCH(BL$88,Tab.Uncertainty.Levels!$A:$A,0)-1,MATCH(BL$87&amp;"_"&amp;BK276,Tab.Uncertainty.Levels!$1:$1,0)-1)</f>
        <v>Insulation available; insulation thickness unknown</v>
      </c>
      <c r="BM276" s="24">
        <f ca="1">OFFSET(Tab.Uncertainty.Levels!$A$1,MATCH(BM$88,Tab.Uncertainty.Levels!$A:$A,0)-1,MATCH(BM$87&amp;"_"&amp;BK276,Tab.Uncertainty.Levels!$1:$1,0)-1)</f>
        <v>0.4</v>
      </c>
      <c r="BN276" s="34">
        <f ca="1">OFFSET(Tab.Uncertainty.Levels!$A$1,MATCH(BN$88,Tab.Uncertainty.Levels!$A:$A,0)-1,MATCH(BN$87&amp;"_"&amp;BK276,Tab.Uncertainty.Levels!$1:$1,0)-1)</f>
        <v>5</v>
      </c>
      <c r="BO276" s="13">
        <f ca="1">IFERROR(MIN(BM276,BN276/AN276),0)</f>
        <v>0.33333333333333331</v>
      </c>
      <c r="BP276" s="32" t="str">
        <f>IF(OR($L276="NoDataSource",IFERROR(IF($V276="",#N/A,$V276),0)=0),IF(IFERROR(IF(U276="",#N/A,U276),0)=0,"E","D"),IF($L276="DesignDataPlusQA","A",IF($L276="DesignData","B","C")))</f>
        <v>D</v>
      </c>
      <c r="BQ276" s="20" t="str">
        <f ca="1">OFFSET(Tab.Uncertainty.Levels!$A$1,MATCH(BQ$88,Tab.Uncertainty.Levels!$A:$A,0)-1,MATCH(BQ$87&amp;"_"&amp;BP276,Tab.Uncertainty.Levels!$1:$1,0)-1)</f>
        <v>Insulation available; no information about material</v>
      </c>
      <c r="BR276" s="97">
        <f ca="1">OFFSET(Tab.Uncertainty.Levels!$A$1,MATCH(BR$88,Tab.Uncertainty.Levels!$A:$A,0)-1,MATCH(BR$87&amp;"_"&amp;BP276,Tab.Uncertainty.Levels!$1:$1,0)-1)</f>
        <v>0.2</v>
      </c>
      <c r="BS276" s="32" t="str">
        <f>IF(L276="NoDataSource","D",IF(IFERROR(IF($T276="",#N/A,$T276),0)=0,IF(OR(IFERROR(IF($S276="",#N/A,$S276),0)&gt;0,$R276="Refurbish"),"D","E"),IF($L276="DesignDataPlusQA","A",IF($L276="DesignData","B","C"))))</f>
        <v>D</v>
      </c>
      <c r="BT276" s="20" t="str">
        <f ca="1">OFFSET(Tab.Uncertainty.Levels!$A$1,MATCH(BT$88,Tab.Uncertainty.Levels!$A:$A,0)-1,MATCH(BT$87&amp;"_"&amp;BS276,Tab.Uncertainty.Levels!$1:$1,0)-1)</f>
        <v>Insulation has been applied, but no information about insulation fraction (default fraction value is the average insulation fraction for all insulated buildings)</v>
      </c>
      <c r="BU276" s="33">
        <f ca="1">OFFSET(Tab.Uncertainty.Levels!$A$1,MATCH(BU$88,Tab.Uncertainty.Levels!$A:$A,0)-1,MATCH(BU$87&amp;"_"&amp;BS276,Tab.Uncertainty.Levels!$1:$1,0)-1)</f>
        <v>0.3</v>
      </c>
      <c r="BV276" s="13">
        <f ca="1">IFERROR(MIN(BU276/AW276,1,(1-AW276)/AW276),0)</f>
        <v>0.11111111111111108</v>
      </c>
      <c r="BW276" s="96">
        <f ca="1">ABS(1+(AW276*(1/(1+AN276/100/AP276*AG276)^2-1)))*BJ276*$AG276</f>
        <v>4.2095625000000005E-2</v>
      </c>
      <c r="BX276" s="96">
        <f ca="1">ABS(-AG276+1/(1/AG276+AN276/100/AP276))*BV276*AW276</f>
        <v>9.0749999999999983E-2</v>
      </c>
      <c r="BY276" s="96">
        <f ca="1">ABS(-AW276*AP276/((AP276/AG276+AN276/100)^2))*(BO276*AN276/100)</f>
        <v>4.7643750000000012E-2</v>
      </c>
      <c r="BZ276" s="202">
        <f ca="1">ABS(AW276*AN276/100/(1/AG276*AP276+AN276/100)^2)*(BR276*AP276)</f>
        <v>2.8586250000000004E-2</v>
      </c>
      <c r="CA276" s="103">
        <f t="shared" ref="CA276" ca="1" si="288">SQRT(BW276^2+BX276^2+BY276^2+BZ276^2)</f>
        <v>0.11443209666551436</v>
      </c>
      <c r="CB276" s="37">
        <f t="shared" ca="1" si="254"/>
        <v>0.14861650485436895</v>
      </c>
      <c r="CC276" s="37">
        <f t="shared" ca="1" si="255"/>
        <v>0.32038834951456302</v>
      </c>
      <c r="CD276" s="37">
        <f t="shared" ca="1" si="256"/>
        <v>0.16820388349514567</v>
      </c>
      <c r="CE276" s="37">
        <f t="shared" ca="1" si="257"/>
        <v>0.1009223300970874</v>
      </c>
      <c r="CF276" s="13">
        <f t="shared" ca="1" si="258"/>
        <v>0.40399681082264555</v>
      </c>
      <c r="CG276" s="101">
        <f ca="1">AG276</f>
        <v>1.1000000000000001</v>
      </c>
      <c r="CH276" s="101">
        <f ca="1">AW276</f>
        <v>0.9</v>
      </c>
      <c r="CI276" s="203">
        <f ca="1">IF(CH276&gt;0,AN276,0)</f>
        <v>15</v>
      </c>
      <c r="CJ276" s="102">
        <f ca="1">IF(AND(CH276&gt;0,CI276&gt;0),AP276,0)</f>
        <v>3.5000000000000003E-2</v>
      </c>
      <c r="CK276" s="102">
        <f ca="1">BB276</f>
        <v>0.28325</v>
      </c>
      <c r="CL276" s="37">
        <f t="shared" ca="1" si="264"/>
        <v>0.3</v>
      </c>
      <c r="CM276" s="37">
        <f t="shared" ca="1" si="265"/>
        <v>0.11111111111111108</v>
      </c>
      <c r="CN276" s="37">
        <f t="shared" ca="1" si="266"/>
        <v>0.33333333333333331</v>
      </c>
      <c r="CO276" s="37">
        <f t="shared" ca="1" si="267"/>
        <v>0.2</v>
      </c>
      <c r="CP276" s="37">
        <f t="shared" ref="CP276" ca="1" si="289">CF276</f>
        <v>0.40399681082264555</v>
      </c>
      <c r="CQ276" s="95">
        <f t="shared" ref="CQ276" ca="1" si="290">CG276*CL276</f>
        <v>0.33</v>
      </c>
      <c r="CR276" s="95">
        <f t="shared" ref="CR276" ca="1" si="291">CH276*CM276</f>
        <v>9.9999999999999978E-2</v>
      </c>
      <c r="CS276" s="95">
        <f t="shared" ref="CS276" ca="1" si="292">CI276*CN276</f>
        <v>5</v>
      </c>
      <c r="CT276" s="103">
        <f t="shared" ref="CT276" ca="1" si="293">CJ276*CO276</f>
        <v>7.000000000000001E-3</v>
      </c>
      <c r="CU276" s="95">
        <f t="shared" ref="CU276" ca="1" si="294">CK276*CP276</f>
        <v>0.11443209666551435</v>
      </c>
      <c r="CV276" s="37">
        <f ca="1">$CB276^2/$CF276^2</f>
        <v>0.13532505530608893</v>
      </c>
      <c r="CW276" s="37">
        <f ca="1">$CD276^2/$CF276^2</f>
        <v>0.17334693357912462</v>
      </c>
      <c r="CX276" s="37">
        <f ca="1">$CE276^2/$CF276^2</f>
        <v>6.2404896088484853E-2</v>
      </c>
      <c r="CY276" s="37">
        <f ca="1">$CC276^2/$CF276^2</f>
        <v>0.62892311502630183</v>
      </c>
      <c r="DA276" s="98" t="s">
        <v>214</v>
      </c>
      <c r="DB276" s="36">
        <f ca="1">OFFSET($A$1,ROW(DB276)-1,MATCH(DA276,$1:$1,0)-1)</f>
        <v>15</v>
      </c>
      <c r="DC276" s="9">
        <f ca="1">BB276</f>
        <v>0.28325</v>
      </c>
      <c r="DD276" s="9">
        <f ca="1">$DC276+$CA276</f>
        <v>0.39768209666551435</v>
      </c>
      <c r="DE276" s="9">
        <f ca="1">$DC276-$CA276</f>
        <v>0.16881790333448565</v>
      </c>
      <c r="DF276" s="10">
        <f t="shared" ca="1" si="245"/>
        <v>0.40399681082264555</v>
      </c>
    </row>
  </sheetData>
  <conditionalFormatting sqref="O1:O6 O94:O101 X12 AC91:AE91 Z92:Z93 AC92:AJ92 AB90:AB93 AE94:AG95 AC93:AG93 AQ2 AM92:AP92 AM3 AM5:AM6 AP4:AP6 AO3:AP3 AS2:AW2 AR99:AR100 AX100 AC87:AJ90 AB88 AS87 X88:Z90 X87 AX88:BC88 AX86:BC86 AV87:BC87 BD87:BD88 AX95:BB98 AX92:BH94 AX89:BH90 BV86:BZ86 BX92:CY98 CA9:CU11 CA8:CY8 AX3:BH5 CA88:CY90 BV88:BZ88 O102:R276 I102:M276 X13:Y19 A2:B5 N8:W19 Z12:AW19 DA6:DF6 AX8:BH10 AX12:BH85 CA24:CY86 O24:P92 N24:N100 A7:B10 A24:B100 L8:L10 L24:L100 M24:M90 Q24:W100 A12:M23 C24:K98 AW24:AW90 X24:AL86 AM24:AQ90 N20:AW23 AR24:AV86 A11:BH11 DA11:DF86 BJ11:CY23 BJ24:BZ85 BJ8:BZ10 A6:BH6 BJ3:CY6 BJ89:BZ90 BJ92:BW94">
    <cfRule type="expression" dxfId="297" priority="395">
      <formula>ISNA(A1)</formula>
    </cfRule>
  </conditionalFormatting>
  <conditionalFormatting sqref="X94:Y95">
    <cfRule type="expression" dxfId="296" priority="362">
      <formula>ISNA(X94)</formula>
    </cfRule>
  </conditionalFormatting>
  <conditionalFormatting sqref="P1:P6 P94:P100">
    <cfRule type="expression" dxfId="295" priority="394">
      <formula>ISNA(P1)</formula>
    </cfRule>
  </conditionalFormatting>
  <conditionalFormatting sqref="N1:N6">
    <cfRule type="expression" dxfId="294" priority="393">
      <formula>ISNA(N1)</formula>
    </cfRule>
  </conditionalFormatting>
  <conditionalFormatting sqref="P101">
    <cfRule type="expression" dxfId="293" priority="392">
      <formula>ISNA(P101)</formula>
    </cfRule>
  </conditionalFormatting>
  <conditionalFormatting sqref="Y91">
    <cfRule type="expression" dxfId="292" priority="391">
      <formula>ISNA(Y91)</formula>
    </cfRule>
  </conditionalFormatting>
  <conditionalFormatting sqref="Y1 Y92:Y100 Y3:Y6">
    <cfRule type="expression" dxfId="291" priority="390">
      <formula>ISNA(Y1)</formula>
    </cfRule>
  </conditionalFormatting>
  <conditionalFormatting sqref="M5:M6">
    <cfRule type="expression" dxfId="290" priority="376">
      <formula>ISNA(M5)</formula>
    </cfRule>
  </conditionalFormatting>
  <conditionalFormatting sqref="M101">
    <cfRule type="expression" dxfId="289" priority="375">
      <formula>ISNA(M101)</formula>
    </cfRule>
  </conditionalFormatting>
  <conditionalFormatting sqref="L1:L6">
    <cfRule type="expression" dxfId="288" priority="385">
      <formula>ISNA(L1)</formula>
    </cfRule>
  </conditionalFormatting>
  <conditionalFormatting sqref="L101">
    <cfRule type="expression" dxfId="287" priority="384">
      <formula>ISNA(L101)</formula>
    </cfRule>
  </conditionalFormatting>
  <conditionalFormatting sqref="O93:P93">
    <cfRule type="expression" dxfId="286" priority="383">
      <formula>ISNA(O93)</formula>
    </cfRule>
  </conditionalFormatting>
  <conditionalFormatting sqref="M91">
    <cfRule type="expression" dxfId="285" priority="382">
      <formula>ISNA(M91)</formula>
    </cfRule>
  </conditionalFormatting>
  <conditionalFormatting sqref="M98:M100">
    <cfRule type="expression" dxfId="284" priority="380">
      <formula>ISNA(M98)</formula>
    </cfRule>
  </conditionalFormatting>
  <conditionalFormatting sqref="M1 M3:M4 M8:M9 M92:M97">
    <cfRule type="expression" dxfId="283" priority="381">
      <formula>ISNA(M1)</formula>
    </cfRule>
  </conditionalFormatting>
  <conditionalFormatting sqref="I2:X2">
    <cfRule type="expression" dxfId="282" priority="379">
      <formula>ISNA(I2)</formula>
    </cfRule>
  </conditionalFormatting>
  <conditionalFormatting sqref="M10:M11">
    <cfRule type="expression" dxfId="281" priority="377">
      <formula>ISNA(M10)</formula>
    </cfRule>
  </conditionalFormatting>
  <conditionalFormatting sqref="R1:R6">
    <cfRule type="expression" dxfId="280" priority="374">
      <formula>ISNA(R1)</formula>
    </cfRule>
  </conditionalFormatting>
  <conditionalFormatting sqref="R101">
    <cfRule type="expression" dxfId="279" priority="373">
      <formula>ISNA(R101)</formula>
    </cfRule>
  </conditionalFormatting>
  <conditionalFormatting sqref="S1:S6">
    <cfRule type="expression" dxfId="278" priority="372">
      <formula>ISNA(S1)</formula>
    </cfRule>
  </conditionalFormatting>
  <conditionalFormatting sqref="T1:T6">
    <cfRule type="expression" dxfId="277" priority="371">
      <formula>ISNA(T1)</formula>
    </cfRule>
  </conditionalFormatting>
  <conditionalFormatting sqref="U1:U6">
    <cfRule type="expression" dxfId="276" priority="370">
      <formula>ISNA(U1)</formula>
    </cfRule>
  </conditionalFormatting>
  <conditionalFormatting sqref="V1:V6">
    <cfRule type="expression" dxfId="275" priority="369">
      <formula>ISNA(V1)</formula>
    </cfRule>
  </conditionalFormatting>
  <conditionalFormatting sqref="W1:W6">
    <cfRule type="expression" dxfId="274" priority="368">
      <formula>ISNA(W1)</formula>
    </cfRule>
  </conditionalFormatting>
  <conditionalFormatting sqref="X91:Y91">
    <cfRule type="expression" dxfId="273" priority="367">
      <formula>ISNA(X91)</formula>
    </cfRule>
  </conditionalFormatting>
  <conditionalFormatting sqref="X96:Y100 X1:Y1 X92:Y93 X3:Y6 X2">
    <cfRule type="expression" dxfId="272" priority="366">
      <formula>ISNA(X1)</formula>
    </cfRule>
  </conditionalFormatting>
  <conditionalFormatting sqref="Q1:Q6">
    <cfRule type="expression" dxfId="271" priority="361">
      <formula>ISNA(Q1)</formula>
    </cfRule>
  </conditionalFormatting>
  <conditionalFormatting sqref="Q101">
    <cfRule type="expression" dxfId="270" priority="360">
      <formula>ISNA(Q101)</formula>
    </cfRule>
  </conditionalFormatting>
  <conditionalFormatting sqref="C2:K2 C100:K100 C99:H99 C4:H7 C9:H11">
    <cfRule type="expression" dxfId="269" priority="357">
      <formula>ISNA(C2)</formula>
    </cfRule>
  </conditionalFormatting>
  <conditionalFormatting sqref="I99:K99">
    <cfRule type="expression" dxfId="268" priority="356">
      <formula>ISNA(I99)</formula>
    </cfRule>
  </conditionalFormatting>
  <conditionalFormatting sqref="Y2">
    <cfRule type="expression" dxfId="267" priority="354">
      <formula>ISNA(Y2)</formula>
    </cfRule>
  </conditionalFormatting>
  <conditionalFormatting sqref="S7:X7">
    <cfRule type="expression" dxfId="266" priority="350">
      <formula>ISNA(S7)</formula>
    </cfRule>
  </conditionalFormatting>
  <conditionalFormatting sqref="S7">
    <cfRule type="expression" dxfId="265" priority="348">
      <formula>ISNA(S7)</formula>
    </cfRule>
  </conditionalFormatting>
  <conditionalFormatting sqref="T7">
    <cfRule type="expression" dxfId="264" priority="347">
      <formula>ISNA(T7)</formula>
    </cfRule>
  </conditionalFormatting>
  <conditionalFormatting sqref="U7">
    <cfRule type="expression" dxfId="263" priority="346">
      <formula>ISNA(U7)</formula>
    </cfRule>
  </conditionalFormatting>
  <conditionalFormatting sqref="V7">
    <cfRule type="expression" dxfId="262" priority="345">
      <formula>ISNA(V7)</formula>
    </cfRule>
  </conditionalFormatting>
  <conditionalFormatting sqref="W7">
    <cfRule type="expression" dxfId="261" priority="344">
      <formula>ISNA(W7)</formula>
    </cfRule>
  </conditionalFormatting>
  <conditionalFormatting sqref="X7">
    <cfRule type="expression" dxfId="260" priority="343">
      <formula>ISNA(X7)</formula>
    </cfRule>
  </conditionalFormatting>
  <conditionalFormatting sqref="O7">
    <cfRule type="expression" dxfId="259" priority="341">
      <formula>ISNA(O7)</formula>
    </cfRule>
  </conditionalFormatting>
  <conditionalFormatting sqref="P7">
    <cfRule type="expression" dxfId="258" priority="340">
      <formula>ISNA(P7)</formula>
    </cfRule>
  </conditionalFormatting>
  <conditionalFormatting sqref="N7">
    <cfRule type="expression" dxfId="257" priority="339">
      <formula>ISNA(N7)</formula>
    </cfRule>
  </conditionalFormatting>
  <conditionalFormatting sqref="L7">
    <cfRule type="expression" dxfId="256" priority="338">
      <formula>ISNA(L7)</formula>
    </cfRule>
  </conditionalFormatting>
  <conditionalFormatting sqref="L7:R7">
    <cfRule type="expression" dxfId="255" priority="337">
      <formula>ISNA(L7)</formula>
    </cfRule>
  </conditionalFormatting>
  <conditionalFormatting sqref="R7">
    <cfRule type="expression" dxfId="254" priority="336">
      <formula>ISNA(R7)</formula>
    </cfRule>
  </conditionalFormatting>
  <conditionalFormatting sqref="Q7">
    <cfRule type="expression" dxfId="253" priority="335">
      <formula>ISNA(Q7)</formula>
    </cfRule>
  </conditionalFormatting>
  <conditionalFormatting sqref="I101:K101">
    <cfRule type="expression" dxfId="252" priority="333">
      <formula>ISNA(I101)</formula>
    </cfRule>
  </conditionalFormatting>
  <conditionalFormatting sqref="I3:K6 I8:K11">
    <cfRule type="expression" dxfId="251" priority="324">
      <formula>ISNA(I3)</formula>
    </cfRule>
  </conditionalFormatting>
  <conditionalFormatting sqref="I7:K7">
    <cfRule type="expression" dxfId="250" priority="323">
      <formula>ISNA(I7)</formula>
    </cfRule>
  </conditionalFormatting>
  <conditionalFormatting sqref="I7:K7">
    <cfRule type="expression" dxfId="249" priority="322">
      <formula>ISNA(I7)</formula>
    </cfRule>
  </conditionalFormatting>
  <conditionalFormatting sqref="C3:H3">
    <cfRule type="expression" dxfId="248" priority="321">
      <formula>ISNA(C3)</formula>
    </cfRule>
  </conditionalFormatting>
  <conditionalFormatting sqref="C8:H8">
    <cfRule type="expression" dxfId="247" priority="320">
      <formula>ISNA(C8)</formula>
    </cfRule>
  </conditionalFormatting>
  <conditionalFormatting sqref="Z2 AB2:AJ2 AM2:AP2">
    <cfRule type="expression" dxfId="246" priority="299">
      <formula>ISNA(Z2)</formula>
    </cfRule>
  </conditionalFormatting>
  <conditionalFormatting sqref="AB89">
    <cfRule type="expression" dxfId="245" priority="285">
      <formula>ISNA(AB89)</formula>
    </cfRule>
  </conditionalFormatting>
  <conditionalFormatting sqref="AM91">
    <cfRule type="expression" dxfId="244" priority="294">
      <formula>ISNA(AM91)</formula>
    </cfRule>
  </conditionalFormatting>
  <conditionalFormatting sqref="AM91">
    <cfRule type="expression" dxfId="243" priority="293">
      <formula>ISNA(AM91)</formula>
    </cfRule>
  </conditionalFormatting>
  <conditionalFormatting sqref="AO91">
    <cfRule type="expression" dxfId="242" priority="291">
      <formula>ISNA(AO91)</formula>
    </cfRule>
  </conditionalFormatting>
  <conditionalFormatting sqref="AO91">
    <cfRule type="expression" dxfId="241" priority="292">
      <formula>ISNA(AO91)</formula>
    </cfRule>
  </conditionalFormatting>
  <conditionalFormatting sqref="Z91 AF91:AJ91 AN91 AP91">
    <cfRule type="expression" dxfId="240" priority="309">
      <formula>ISNA(Z91)</formula>
    </cfRule>
  </conditionalFormatting>
  <conditionalFormatting sqref="Z1 Z4:Z6 AH3:AJ4 AB3:AF4 AB5:AJ6 AB1:AJ1 AM1:AP1">
    <cfRule type="expression" dxfId="239" priority="308">
      <formula>ISNA(Z1)</formula>
    </cfRule>
  </conditionalFormatting>
  <conditionalFormatting sqref="Z3">
    <cfRule type="expression" dxfId="238" priority="289">
      <formula>ISNA(Z3)</formula>
    </cfRule>
  </conditionalFormatting>
  <conditionalFormatting sqref="Z91 AF91:AJ91 AN91 AP91">
    <cfRule type="expression" dxfId="237" priority="305">
      <formula>ISNA(Z91)</formula>
    </cfRule>
  </conditionalFormatting>
  <conditionalFormatting sqref="Z1 Z4:Z6 AH3:AJ4 AB3:AF4 AB5:AJ6 AB1:AJ1 AM1:AP1">
    <cfRule type="expression" dxfId="236" priority="304">
      <formula>ISNA(Z1)</formula>
    </cfRule>
  </conditionalFormatting>
  <conditionalFormatting sqref="Y12">
    <cfRule type="expression" dxfId="235" priority="290">
      <formula>ISNA(Y12)</formula>
    </cfRule>
  </conditionalFormatting>
  <conditionalFormatting sqref="X8:Z11 AB8:AD11">
    <cfRule type="expression" dxfId="234" priority="254">
      <formula>ISNA(X8)</formula>
    </cfRule>
  </conditionalFormatting>
  <conditionalFormatting sqref="AG3">
    <cfRule type="expression" dxfId="233" priority="275">
      <formula>ISNA(AG3)</formula>
    </cfRule>
  </conditionalFormatting>
  <conditionalFormatting sqref="AG3">
    <cfRule type="expression" dxfId="232" priority="274">
      <formula>ISNA(AG3)</formula>
    </cfRule>
  </conditionalFormatting>
  <conditionalFormatting sqref="Z94:Z95 AB94:AD95">
    <cfRule type="expression" dxfId="231" priority="282">
      <formula>ISNA(Z94)</formula>
    </cfRule>
  </conditionalFormatting>
  <conditionalFormatting sqref="Z94:Z100 AB96 AB97:AD98 AB99:AC100 AB94:AD95">
    <cfRule type="expression" dxfId="230" priority="284">
      <formula>ISNA(Z94)</formula>
    </cfRule>
  </conditionalFormatting>
  <conditionalFormatting sqref="Z96:Z100 AB96 AB99:AC100 AB97:AD98">
    <cfRule type="expression" dxfId="229" priority="283">
      <formula>ISNA(Z96)</formula>
    </cfRule>
  </conditionalFormatting>
  <conditionalFormatting sqref="AE97:AG98">
    <cfRule type="expression" dxfId="228" priority="281">
      <formula>ISNA(AE97)</formula>
    </cfRule>
  </conditionalFormatting>
  <conditionalFormatting sqref="AE97:AG98">
    <cfRule type="expression" dxfId="227" priority="280">
      <formula>ISNA(AE97)</formula>
    </cfRule>
  </conditionalFormatting>
  <conditionalFormatting sqref="AC96:AG96">
    <cfRule type="expression" dxfId="226" priority="262">
      <formula>ISNA(AC96)</formula>
    </cfRule>
  </conditionalFormatting>
  <conditionalFormatting sqref="AD100:AG100">
    <cfRule type="expression" dxfId="225" priority="261">
      <formula>ISNA(AD100)</formula>
    </cfRule>
  </conditionalFormatting>
  <conditionalFormatting sqref="AE9:AJ9 AM9 AP9">
    <cfRule type="expression" dxfId="224" priority="255">
      <formula>ISNA(AE9)</formula>
    </cfRule>
  </conditionalFormatting>
  <conditionalFormatting sqref="Y7">
    <cfRule type="expression" dxfId="223" priority="266">
      <formula>ISNA(Y7)</formula>
    </cfRule>
  </conditionalFormatting>
  <conditionalFormatting sqref="Z7 AM7 AB7:AJ7 AP7">
    <cfRule type="expression" dxfId="222" priority="265">
      <formula>ISNA(Z7)</formula>
    </cfRule>
  </conditionalFormatting>
  <conditionalFormatting sqref="AD99:AG99">
    <cfRule type="expression" dxfId="221" priority="269">
      <formula>ISNA(AD99)</formula>
    </cfRule>
  </conditionalFormatting>
  <conditionalFormatting sqref="AD99:AG99">
    <cfRule type="expression" dxfId="220" priority="268">
      <formula>ISNA(AD99)</formula>
    </cfRule>
  </conditionalFormatting>
  <conditionalFormatting sqref="AE9:AJ9 AM9 AP9">
    <cfRule type="expression" dxfId="219" priority="256">
      <formula>ISNA(AE9)</formula>
    </cfRule>
  </conditionalFormatting>
  <conditionalFormatting sqref="AH93:AJ95 AM93:AP95">
    <cfRule type="expression" dxfId="218" priority="253">
      <formula>ISNA(AH93)</formula>
    </cfRule>
  </conditionalFormatting>
  <conditionalFormatting sqref="AC96:AG96">
    <cfRule type="expression" dxfId="217" priority="263">
      <formula>ISNA(AC96)</formula>
    </cfRule>
  </conditionalFormatting>
  <conditionalFormatting sqref="AD100:AG100">
    <cfRule type="expression" dxfId="216" priority="260">
      <formula>ISNA(AD100)</formula>
    </cfRule>
  </conditionalFormatting>
  <conditionalFormatting sqref="AE10:AJ11 AM10:AN11 AP10:AP11">
    <cfRule type="expression" dxfId="215" priority="259">
      <formula>ISNA(AE10)</formula>
    </cfRule>
  </conditionalFormatting>
  <conditionalFormatting sqref="AE10:AJ11 AM10:AN11 AP10:AP11">
    <cfRule type="expression" dxfId="214" priority="258">
      <formula>ISNA(AE10)</formula>
    </cfRule>
  </conditionalFormatting>
  <conditionalFormatting sqref="AE8:AJ8 AM8 AP8">
    <cfRule type="expression" dxfId="213" priority="257">
      <formula>ISNA(AE8)</formula>
    </cfRule>
  </conditionalFormatting>
  <conditionalFormatting sqref="AH97:AJ98 AM97:AP98">
    <cfRule type="expression" dxfId="212" priority="252">
      <formula>ISNA(AH97)</formula>
    </cfRule>
  </conditionalFormatting>
  <conditionalFormatting sqref="AH97:AJ98 AM97:AP98">
    <cfRule type="expression" dxfId="211" priority="251">
      <formula>ISNA(AH97)</formula>
    </cfRule>
  </conditionalFormatting>
  <conditionalFormatting sqref="AH99:AJ99">
    <cfRule type="expression" dxfId="210" priority="250">
      <formula>ISNA(AH99)</formula>
    </cfRule>
  </conditionalFormatting>
  <conditionalFormatting sqref="AH99:AJ99">
    <cfRule type="expression" dxfId="209" priority="249">
      <formula>ISNA(AH99)</formula>
    </cfRule>
  </conditionalFormatting>
  <conditionalFormatting sqref="AH96:AJ96 AM96:AP96">
    <cfRule type="expression" dxfId="208" priority="248">
      <formula>ISNA(AH96)</formula>
    </cfRule>
  </conditionalFormatting>
  <conditionalFormatting sqref="AH96:AJ96 AM96:AP96">
    <cfRule type="expression" dxfId="207" priority="247">
      <formula>ISNA(AH96)</formula>
    </cfRule>
  </conditionalFormatting>
  <conditionalFormatting sqref="AH100:AJ100 AM100:AP100">
    <cfRule type="expression" dxfId="206" priority="246">
      <formula>ISNA(AH100)</formula>
    </cfRule>
  </conditionalFormatting>
  <conditionalFormatting sqref="AH100:AJ100 AM100:AP100">
    <cfRule type="expression" dxfId="205" priority="245">
      <formula>ISNA(AH100)</formula>
    </cfRule>
  </conditionalFormatting>
  <conditionalFormatting sqref="AM99:AP99">
    <cfRule type="expression" dxfId="204" priority="244">
      <formula>ISNA(AM99)</formula>
    </cfRule>
  </conditionalFormatting>
  <conditionalFormatting sqref="AM99:AP99">
    <cfRule type="expression" dxfId="203" priority="243">
      <formula>ISNA(AM99)</formula>
    </cfRule>
  </conditionalFormatting>
  <conditionalFormatting sqref="AQ92 AS92:AV92 AS89:AV90 AS88:AT88 AV88">
    <cfRule type="expression" dxfId="202" priority="242">
      <formula>ISNA(AQ88)</formula>
    </cfRule>
  </conditionalFormatting>
  <conditionalFormatting sqref="AQ3:AQ6 AS5:AV6 AT3 AT4:AU4">
    <cfRule type="expression" dxfId="201" priority="240">
      <formula>ISNA(AQ3)</formula>
    </cfRule>
  </conditionalFormatting>
  <conditionalFormatting sqref="AQ93:AQ95 AS93:AV93">
    <cfRule type="expression" dxfId="200" priority="231">
      <formula>ISNA(AQ93)</formula>
    </cfRule>
  </conditionalFormatting>
  <conditionalFormatting sqref="AQ3:AQ6 AS5:AV6 AT3 AT4:AU4">
    <cfRule type="expression" dxfId="199" priority="238">
      <formula>ISNA(AQ3)</formula>
    </cfRule>
  </conditionalFormatting>
  <conditionalFormatting sqref="AQ7 AS7:AV7">
    <cfRule type="expression" dxfId="198" priority="237">
      <formula>ISNA(AQ7)</formula>
    </cfRule>
  </conditionalFormatting>
  <conditionalFormatting sqref="AA2">
    <cfRule type="expression" dxfId="197" priority="195">
      <formula>ISNA(AA2)</formula>
    </cfRule>
  </conditionalFormatting>
  <conditionalFormatting sqref="AA89">
    <cfRule type="expression" dxfId="196" priority="194">
      <formula>ISNA(AA89)</formula>
    </cfRule>
  </conditionalFormatting>
  <conditionalFormatting sqref="AQ10:AQ11 AS10:AV11">
    <cfRule type="expression" dxfId="195" priority="236">
      <formula>ISNA(AQ10)</formula>
    </cfRule>
  </conditionalFormatting>
  <conditionalFormatting sqref="AQ10:AQ11 AS10:AV11">
    <cfRule type="expression" dxfId="194" priority="235">
      <formula>ISNA(AQ10)</formula>
    </cfRule>
  </conditionalFormatting>
  <conditionalFormatting sqref="AA3:AA6 AA1">
    <cfRule type="expression" dxfId="193" priority="196">
      <formula>ISNA(AA1)</formula>
    </cfRule>
  </conditionalFormatting>
  <conditionalFormatting sqref="AQ97:AQ98">
    <cfRule type="expression" dxfId="192" priority="230">
      <formula>ISNA(AQ97)</formula>
    </cfRule>
  </conditionalFormatting>
  <conditionalFormatting sqref="AQ97:AQ98">
    <cfRule type="expression" dxfId="191" priority="229">
      <formula>ISNA(AQ97)</formula>
    </cfRule>
  </conditionalFormatting>
  <conditionalFormatting sqref="AQ96">
    <cfRule type="expression" dxfId="190" priority="228">
      <formula>ISNA(AQ96)</formula>
    </cfRule>
  </conditionalFormatting>
  <conditionalFormatting sqref="AQ96">
    <cfRule type="expression" dxfId="189" priority="227">
      <formula>ISNA(AQ96)</formula>
    </cfRule>
  </conditionalFormatting>
  <conditionalFormatting sqref="AQ100 AT100:AU100">
    <cfRule type="expression" dxfId="188" priority="226">
      <formula>ISNA(AQ100)</formula>
    </cfRule>
  </conditionalFormatting>
  <conditionalFormatting sqref="AQ100 AT100:AU100">
    <cfRule type="expression" dxfId="187" priority="225">
      <formula>ISNA(AQ100)</formula>
    </cfRule>
  </conditionalFormatting>
  <conditionalFormatting sqref="AQ99 AS99">
    <cfRule type="expression" dxfId="186" priority="224">
      <formula>ISNA(AQ99)</formula>
    </cfRule>
  </conditionalFormatting>
  <conditionalFormatting sqref="AQ99 AS99">
    <cfRule type="expression" dxfId="185" priority="223">
      <formula>ISNA(AQ99)</formula>
    </cfRule>
  </conditionalFormatting>
  <conditionalFormatting sqref="AW92">
    <cfRule type="expression" dxfId="184" priority="222">
      <formula>ISNA(AW92)</formula>
    </cfRule>
  </conditionalFormatting>
  <conditionalFormatting sqref="AW9">
    <cfRule type="expression" dxfId="183" priority="213">
      <formula>ISNA(AW9)</formula>
    </cfRule>
  </conditionalFormatting>
  <conditionalFormatting sqref="AW3:AW6">
    <cfRule type="expression" dxfId="182" priority="220">
      <formula>ISNA(AW3)</formula>
    </cfRule>
  </conditionalFormatting>
  <conditionalFormatting sqref="AW93">
    <cfRule type="expression" dxfId="181" priority="211">
      <formula>ISNA(AW93)</formula>
    </cfRule>
  </conditionalFormatting>
  <conditionalFormatting sqref="AW3:AW6">
    <cfRule type="expression" dxfId="180" priority="218">
      <formula>ISNA(AW3)</formula>
    </cfRule>
  </conditionalFormatting>
  <conditionalFormatting sqref="AW7">
    <cfRule type="expression" dxfId="179" priority="217">
      <formula>ISNA(AW7)</formula>
    </cfRule>
  </conditionalFormatting>
  <conditionalFormatting sqref="AW9">
    <cfRule type="expression" dxfId="178" priority="212">
      <formula>ISNA(AW9)</formula>
    </cfRule>
  </conditionalFormatting>
  <conditionalFormatting sqref="AW10:AW11">
    <cfRule type="expression" dxfId="177" priority="216">
      <formula>ISNA(AW10)</formula>
    </cfRule>
  </conditionalFormatting>
  <conditionalFormatting sqref="AW10:AW11">
    <cfRule type="expression" dxfId="176" priority="215">
      <formula>ISNA(AW10)</formula>
    </cfRule>
  </conditionalFormatting>
  <conditionalFormatting sqref="AW8">
    <cfRule type="expression" dxfId="175" priority="214">
      <formula>ISNA(AW8)</formula>
    </cfRule>
  </conditionalFormatting>
  <conditionalFormatting sqref="AO9">
    <cfRule type="expression" dxfId="174" priority="172">
      <formula>ISNA(AO9)</formula>
    </cfRule>
  </conditionalFormatting>
  <conditionalFormatting sqref="AM4">
    <cfRule type="expression" dxfId="173" priority="171">
      <formula>ISNA(AM4)</formula>
    </cfRule>
  </conditionalFormatting>
  <conditionalFormatting sqref="AW100">
    <cfRule type="expression" dxfId="172" priority="206">
      <formula>ISNA(AW100)</formula>
    </cfRule>
  </conditionalFormatting>
  <conditionalFormatting sqref="AW100">
    <cfRule type="expression" dxfId="171" priority="205">
      <formula>ISNA(AW100)</formula>
    </cfRule>
  </conditionalFormatting>
  <conditionalFormatting sqref="AW99">
    <cfRule type="expression" dxfId="170" priority="204">
      <formula>ISNA(AW99)</formula>
    </cfRule>
  </conditionalFormatting>
  <conditionalFormatting sqref="AW99">
    <cfRule type="expression" dxfId="169" priority="203">
      <formula>ISNA(AW99)</formula>
    </cfRule>
  </conditionalFormatting>
  <conditionalFormatting sqref="AA96:AA100">
    <cfRule type="expression" dxfId="168" priority="192">
      <formula>ISNA(AA96)</formula>
    </cfRule>
  </conditionalFormatting>
  <conditionalFormatting sqref="AA94:AA95">
    <cfRule type="expression" dxfId="167" priority="191">
      <formula>ISNA(AA94)</formula>
    </cfRule>
  </conditionalFormatting>
  <conditionalFormatting sqref="AA7">
    <cfRule type="expression" dxfId="166" priority="190">
      <formula>ISNA(AA7)</formula>
    </cfRule>
  </conditionalFormatting>
  <conditionalFormatting sqref="AA8:AA11">
    <cfRule type="expression" dxfId="165" priority="189">
      <formula>ISNA(AA8)</formula>
    </cfRule>
  </conditionalFormatting>
  <conditionalFormatting sqref="AA90:AA93 AA88">
    <cfRule type="expression" dxfId="164" priority="198">
      <formula>ISNA(AA88)</formula>
    </cfRule>
  </conditionalFormatting>
  <conditionalFormatting sqref="AA3:AA6 AA1">
    <cfRule type="expression" dxfId="163" priority="197">
      <formula>ISNA(AA1)</formula>
    </cfRule>
  </conditionalFormatting>
  <conditionalFormatting sqref="AA94:AA100">
    <cfRule type="expression" dxfId="162" priority="193">
      <formula>ISNA(AA94)</formula>
    </cfRule>
  </conditionalFormatting>
  <conditionalFormatting sqref="AK90:AL93 AK88:AL88">
    <cfRule type="expression" dxfId="161" priority="188">
      <formula>ISNA(AK88)</formula>
    </cfRule>
  </conditionalFormatting>
  <conditionalFormatting sqref="AK2:AL2">
    <cfRule type="expression" dxfId="160" priority="185">
      <formula>ISNA(AK2)</formula>
    </cfRule>
  </conditionalFormatting>
  <conditionalFormatting sqref="AK1:AL1 AK3:AL6">
    <cfRule type="expression" dxfId="159" priority="187">
      <formula>ISNA(AK1)</formula>
    </cfRule>
  </conditionalFormatting>
  <conditionalFormatting sqref="AK1:AL1 AK3:AL6">
    <cfRule type="expression" dxfId="158" priority="186">
      <formula>ISNA(AK1)</formula>
    </cfRule>
  </conditionalFormatting>
  <conditionalFormatting sqref="AK89:AL89">
    <cfRule type="expression" dxfId="157" priority="184">
      <formula>ISNA(AK89)</formula>
    </cfRule>
  </conditionalFormatting>
  <conditionalFormatting sqref="AK94:AL95">
    <cfRule type="expression" dxfId="156" priority="181">
      <formula>ISNA(AK94)</formula>
    </cfRule>
  </conditionalFormatting>
  <conditionalFormatting sqref="AK94:AL100">
    <cfRule type="expression" dxfId="155" priority="183">
      <formula>ISNA(AK94)</formula>
    </cfRule>
  </conditionalFormatting>
  <conditionalFormatting sqref="AK96:AL100">
    <cfRule type="expression" dxfId="154" priority="182">
      <formula>ISNA(AK96)</formula>
    </cfRule>
  </conditionalFormatting>
  <conditionalFormatting sqref="AK7:AL7">
    <cfRule type="expression" dxfId="153" priority="180">
      <formula>ISNA(AK7)</formula>
    </cfRule>
  </conditionalFormatting>
  <conditionalFormatting sqref="AK8:AL11">
    <cfRule type="expression" dxfId="152" priority="179">
      <formula>ISNA(AK8)</formula>
    </cfRule>
  </conditionalFormatting>
  <conditionalFormatting sqref="AO4:AO6">
    <cfRule type="expression" dxfId="151" priority="178">
      <formula>ISNA(AO4)</formula>
    </cfRule>
  </conditionalFormatting>
  <conditionalFormatting sqref="AO7">
    <cfRule type="expression" dxfId="150" priority="177">
      <formula>ISNA(AO7)</formula>
    </cfRule>
  </conditionalFormatting>
  <conditionalFormatting sqref="AO9">
    <cfRule type="expression" dxfId="149" priority="173">
      <formula>ISNA(AO9)</formula>
    </cfRule>
  </conditionalFormatting>
  <conditionalFormatting sqref="AO10:AO11">
    <cfRule type="expression" dxfId="148" priority="176">
      <formula>ISNA(AO10)</formula>
    </cfRule>
  </conditionalFormatting>
  <conditionalFormatting sqref="AO10:AO11">
    <cfRule type="expression" dxfId="147" priority="175">
      <formula>ISNA(AO10)</formula>
    </cfRule>
  </conditionalFormatting>
  <conditionalFormatting sqref="AO8">
    <cfRule type="expression" dxfId="146" priority="174">
      <formula>ISNA(AO8)</formula>
    </cfRule>
  </conditionalFormatting>
  <conditionalFormatting sqref="AM4">
    <cfRule type="expression" dxfId="145" priority="170">
      <formula>ISNA(AM4)</formula>
    </cfRule>
  </conditionalFormatting>
  <conditionalFormatting sqref="AN3 AN5:AN6">
    <cfRule type="expression" dxfId="144" priority="169">
      <formula>ISNA(AN3)</formula>
    </cfRule>
  </conditionalFormatting>
  <conditionalFormatting sqref="AN7">
    <cfRule type="expression" dxfId="143" priority="168">
      <formula>ISNA(AN7)</formula>
    </cfRule>
  </conditionalFormatting>
  <conditionalFormatting sqref="AN9">
    <cfRule type="expression" dxfId="142" priority="166">
      <formula>ISNA(AN9)</formula>
    </cfRule>
  </conditionalFormatting>
  <conditionalFormatting sqref="AN9">
    <cfRule type="expression" dxfId="141" priority="165">
      <formula>ISNA(AN9)</formula>
    </cfRule>
  </conditionalFormatting>
  <conditionalFormatting sqref="AN8">
    <cfRule type="expression" dxfId="140" priority="167">
      <formula>ISNA(AN8)</formula>
    </cfRule>
  </conditionalFormatting>
  <conditionalFormatting sqref="AN4">
    <cfRule type="expression" dxfId="139" priority="164">
      <formula>ISNA(AN4)</formula>
    </cfRule>
  </conditionalFormatting>
  <conditionalFormatting sqref="AN4">
    <cfRule type="expression" dxfId="138" priority="163">
      <formula>ISNA(AN4)</formula>
    </cfRule>
  </conditionalFormatting>
  <conditionalFormatting sqref="AR90 AR92:AR93">
    <cfRule type="expression" dxfId="137" priority="162">
      <formula>ISNA(AR90)</formula>
    </cfRule>
  </conditionalFormatting>
  <conditionalFormatting sqref="AR2">
    <cfRule type="expression" dxfId="136" priority="159">
      <formula>ISNA(AR2)</formula>
    </cfRule>
  </conditionalFormatting>
  <conditionalFormatting sqref="AR1">
    <cfRule type="expression" dxfId="135" priority="161">
      <formula>ISNA(AR1)</formula>
    </cfRule>
  </conditionalFormatting>
  <conditionalFormatting sqref="AR1">
    <cfRule type="expression" dxfId="134" priority="160">
      <formula>ISNA(AR1)</formula>
    </cfRule>
  </conditionalFormatting>
  <conditionalFormatting sqref="AR89">
    <cfRule type="expression" dxfId="133" priority="158">
      <formula>ISNA(AR89)</formula>
    </cfRule>
  </conditionalFormatting>
  <conditionalFormatting sqref="AR10:AR11">
    <cfRule type="expression" dxfId="132" priority="153">
      <formula>ISNA(AR10)</formula>
    </cfRule>
  </conditionalFormatting>
  <conditionalFormatting sqref="AT87">
    <cfRule type="expression" dxfId="131" priority="151">
      <formula>ISNA(AT87)</formula>
    </cfRule>
  </conditionalFormatting>
  <conditionalFormatting sqref="AQ8:AQ9 AT8:AT9">
    <cfRule type="expression" dxfId="130" priority="150">
      <formula>ISNA(AQ8)</formula>
    </cfRule>
  </conditionalFormatting>
  <conditionalFormatting sqref="AQ8:AQ9 AT8:AT9">
    <cfRule type="expression" dxfId="129" priority="149">
      <formula>ISNA(AQ8)</formula>
    </cfRule>
  </conditionalFormatting>
  <conditionalFormatting sqref="AR3:AR6">
    <cfRule type="expression" dxfId="128" priority="146">
      <formula>ISNA(AR3)</formula>
    </cfRule>
  </conditionalFormatting>
  <conditionalFormatting sqref="AR3:AR6">
    <cfRule type="expression" dxfId="127" priority="145">
      <formula>ISNA(AR3)</formula>
    </cfRule>
  </conditionalFormatting>
  <conditionalFormatting sqref="AR7">
    <cfRule type="expression" dxfId="126" priority="144">
      <formula>ISNA(AR7)</formula>
    </cfRule>
  </conditionalFormatting>
  <conditionalFormatting sqref="AU3">
    <cfRule type="expression" dxfId="125" priority="141">
      <formula>ISNA(AU3)</formula>
    </cfRule>
  </conditionalFormatting>
  <conditionalFormatting sqref="AU3">
    <cfRule type="expression" dxfId="124" priority="140">
      <formula>ISNA(AU3)</formula>
    </cfRule>
  </conditionalFormatting>
  <conditionalFormatting sqref="AS3:AS4">
    <cfRule type="expression" dxfId="123" priority="139">
      <formula>ISNA(AS3)</formula>
    </cfRule>
  </conditionalFormatting>
  <conditionalFormatting sqref="AS3:AS4">
    <cfRule type="expression" dxfId="122" priority="138">
      <formula>ISNA(AS3)</formula>
    </cfRule>
  </conditionalFormatting>
  <conditionalFormatting sqref="AV3:AV4">
    <cfRule type="expression" dxfId="121" priority="137">
      <formula>ISNA(AV3)</formula>
    </cfRule>
  </conditionalFormatting>
  <conditionalFormatting sqref="AV3:AV4">
    <cfRule type="expression" dxfId="120" priority="136">
      <formula>ISNA(AV3)</formula>
    </cfRule>
  </conditionalFormatting>
  <conditionalFormatting sqref="AR8:AS9">
    <cfRule type="expression" dxfId="119" priority="135">
      <formula>ISNA(AR8)</formula>
    </cfRule>
  </conditionalFormatting>
  <conditionalFormatting sqref="AR8:AS9">
    <cfRule type="expression" dxfId="118" priority="134">
      <formula>ISNA(AR8)</formula>
    </cfRule>
  </conditionalFormatting>
  <conditionalFormatting sqref="AU8:AV9">
    <cfRule type="expression" dxfId="117" priority="133">
      <formula>ISNA(AU8)</formula>
    </cfRule>
  </conditionalFormatting>
  <conditionalFormatting sqref="AU8:AV9">
    <cfRule type="expression" dxfId="116" priority="132">
      <formula>ISNA(AU8)</formula>
    </cfRule>
  </conditionalFormatting>
  <conditionalFormatting sqref="AR94:AW95">
    <cfRule type="expression" dxfId="115" priority="131">
      <formula>ISNA(AR94)</formula>
    </cfRule>
  </conditionalFormatting>
  <conditionalFormatting sqref="AR97:AW98">
    <cfRule type="expression" dxfId="114" priority="130">
      <formula>ISNA(AR97)</formula>
    </cfRule>
  </conditionalFormatting>
  <conditionalFormatting sqref="AR97:AW98">
    <cfRule type="expression" dxfId="113" priority="129">
      <formula>ISNA(AR97)</formula>
    </cfRule>
  </conditionalFormatting>
  <conditionalFormatting sqref="AR96:AW96">
    <cfRule type="expression" dxfId="112" priority="128">
      <formula>ISNA(AR96)</formula>
    </cfRule>
  </conditionalFormatting>
  <conditionalFormatting sqref="AR96:AW96">
    <cfRule type="expression" dxfId="111" priority="127">
      <formula>ISNA(AR96)</formula>
    </cfRule>
  </conditionalFormatting>
  <conditionalFormatting sqref="AU99">
    <cfRule type="expression" dxfId="110" priority="126">
      <formula>ISNA(AU99)</formula>
    </cfRule>
  </conditionalFormatting>
  <conditionalFormatting sqref="AT99 AV99">
    <cfRule type="expression" dxfId="109" priority="125">
      <formula>ISNA(AT99)</formula>
    </cfRule>
  </conditionalFormatting>
  <conditionalFormatting sqref="AT99 AV99">
    <cfRule type="expression" dxfId="108" priority="124">
      <formula>ISNA(AT99)</formula>
    </cfRule>
  </conditionalFormatting>
  <conditionalFormatting sqref="AV100">
    <cfRule type="expression" dxfId="107" priority="123">
      <formula>ISNA(AV100)</formula>
    </cfRule>
  </conditionalFormatting>
  <conditionalFormatting sqref="AV100">
    <cfRule type="expression" dxfId="106" priority="122">
      <formula>ISNA(AV100)</formula>
    </cfRule>
  </conditionalFormatting>
  <conditionalFormatting sqref="AS100">
    <cfRule type="expression" dxfId="105" priority="121">
      <formula>ISNA(AS100)</formula>
    </cfRule>
  </conditionalFormatting>
  <conditionalFormatting sqref="AS100">
    <cfRule type="expression" dxfId="104" priority="120">
      <formula>ISNA(AS100)</formula>
    </cfRule>
  </conditionalFormatting>
  <conditionalFormatting sqref="AG4">
    <cfRule type="expression" dxfId="103" priority="116">
      <formula>ISNA(AG4)</formula>
    </cfRule>
  </conditionalFormatting>
  <conditionalFormatting sqref="AG4">
    <cfRule type="expression" dxfId="102" priority="117">
      <formula>ISNA(AG4)</formula>
    </cfRule>
  </conditionalFormatting>
  <conditionalFormatting sqref="AX99">
    <cfRule type="expression" dxfId="101" priority="95">
      <formula>ISNA(AX99)</formula>
    </cfRule>
  </conditionalFormatting>
  <conditionalFormatting sqref="AX99">
    <cfRule type="expression" dxfId="100" priority="94">
      <formula>ISNA(AX99)</formula>
    </cfRule>
  </conditionalFormatting>
  <conditionalFormatting sqref="AY100:BB100">
    <cfRule type="expression" dxfId="99" priority="93">
      <formula>ISNA(AY100)</formula>
    </cfRule>
  </conditionalFormatting>
  <conditionalFormatting sqref="AY99:BB99">
    <cfRule type="expression" dxfId="98" priority="92">
      <formula>ISNA(AY99)</formula>
    </cfRule>
  </conditionalFormatting>
  <conditionalFormatting sqref="AY99:BB99">
    <cfRule type="expression" dxfId="97" priority="91">
      <formula>ISNA(AY99)</formula>
    </cfRule>
  </conditionalFormatting>
  <conditionalFormatting sqref="AS91 AV91:BB91">
    <cfRule type="expression" dxfId="96" priority="90">
      <formula>ISNA(AS91)</formula>
    </cfRule>
  </conditionalFormatting>
  <conditionalFormatting sqref="AS91 AV91:BB91">
    <cfRule type="expression" dxfId="95" priority="89">
      <formula>ISNA(AS91)</formula>
    </cfRule>
  </conditionalFormatting>
  <conditionalFormatting sqref="AR91">
    <cfRule type="expression" dxfId="94" priority="87">
      <formula>ISNA(AR91)</formula>
    </cfRule>
  </conditionalFormatting>
  <conditionalFormatting sqref="AR91">
    <cfRule type="expression" dxfId="93" priority="88">
      <formula>ISNA(AR91)</formula>
    </cfRule>
  </conditionalFormatting>
  <conditionalFormatting sqref="AQ91">
    <cfRule type="expression" dxfId="92" priority="85">
      <formula>ISNA(AQ91)</formula>
    </cfRule>
  </conditionalFormatting>
  <conditionalFormatting sqref="AQ91">
    <cfRule type="expression" dxfId="91" priority="86">
      <formula>ISNA(AQ91)</formula>
    </cfRule>
  </conditionalFormatting>
  <conditionalFormatting sqref="AT91:AU91">
    <cfRule type="expression" dxfId="90" priority="83">
      <formula>ISNA(AT91)</formula>
    </cfRule>
  </conditionalFormatting>
  <conditionalFormatting sqref="AT91:AU91">
    <cfRule type="expression" dxfId="89" priority="84">
      <formula>ISNA(AT91)</formula>
    </cfRule>
  </conditionalFormatting>
  <conditionalFormatting sqref="AA87:AB87">
    <cfRule type="expression" dxfId="88" priority="82">
      <formula>ISNA(AA87)</formula>
    </cfRule>
  </conditionalFormatting>
  <conditionalFormatting sqref="AL88">
    <cfRule type="expression" dxfId="87" priority="81">
      <formula>ISNA(AL88)</formula>
    </cfRule>
  </conditionalFormatting>
  <conditionalFormatting sqref="AK87:AL87">
    <cfRule type="expression" dxfId="86" priority="80">
      <formula>ISNA(AK87)</formula>
    </cfRule>
  </conditionalFormatting>
  <conditionalFormatting sqref="AR88">
    <cfRule type="expression" dxfId="85" priority="79">
      <formula>ISNA(AR88)</formula>
    </cfRule>
  </conditionalFormatting>
  <conditionalFormatting sqref="AR88">
    <cfRule type="expression" dxfId="84" priority="78">
      <formula>ISNA(AR88)</formula>
    </cfRule>
  </conditionalFormatting>
  <conditionalFormatting sqref="AR87">
    <cfRule type="expression" dxfId="83" priority="77">
      <formula>ISNA(AR87)</formula>
    </cfRule>
  </conditionalFormatting>
  <conditionalFormatting sqref="AU88">
    <cfRule type="expression" dxfId="82" priority="76">
      <formula>ISNA(AU88)</formula>
    </cfRule>
  </conditionalFormatting>
  <conditionalFormatting sqref="AU88">
    <cfRule type="expression" dxfId="81" priority="75">
      <formula>ISNA(AU88)</formula>
    </cfRule>
  </conditionalFormatting>
  <conditionalFormatting sqref="AU87">
    <cfRule type="expression" dxfId="80" priority="74">
      <formula>ISNA(AU87)</formula>
    </cfRule>
  </conditionalFormatting>
  <conditionalFormatting sqref="Y87:Z87">
    <cfRule type="expression" dxfId="79" priority="73">
      <formula>ISNA(Y87)</formula>
    </cfRule>
  </conditionalFormatting>
  <conditionalFormatting sqref="BD86">
    <cfRule type="expression" dxfId="78" priority="72">
      <formula>ISNA(BD86)</formula>
    </cfRule>
  </conditionalFormatting>
  <conditionalFormatting sqref="BE87:BE88 BG87:BH88 BL87:BN88 BQ87:BR88 BT87:BU88">
    <cfRule type="expression" dxfId="77" priority="71">
      <formula>ISNA(BE87)</formula>
    </cfRule>
  </conditionalFormatting>
  <conditionalFormatting sqref="BE86:BH86 BJ86:BU86">
    <cfRule type="expression" dxfId="76" priority="70">
      <formula>ISNA(BE86)</formula>
    </cfRule>
  </conditionalFormatting>
  <conditionalFormatting sqref="BF87:BF88">
    <cfRule type="expression" dxfId="75" priority="69">
      <formula>ISNA(BF87)</formula>
    </cfRule>
  </conditionalFormatting>
  <conditionalFormatting sqref="BJ87:BK88">
    <cfRule type="expression" dxfId="74" priority="68">
      <formula>ISNA(BJ87)</formula>
    </cfRule>
  </conditionalFormatting>
  <conditionalFormatting sqref="BO87:BP88">
    <cfRule type="expression" dxfId="73" priority="67">
      <formula>ISNA(BO87)</formula>
    </cfRule>
  </conditionalFormatting>
  <conditionalFormatting sqref="BS87:BS88">
    <cfRule type="expression" dxfId="72" priority="66">
      <formula>ISNA(BS87)</formula>
    </cfRule>
  </conditionalFormatting>
  <conditionalFormatting sqref="BC95:BH98 BJ95:BX98">
    <cfRule type="expression" dxfId="71" priority="65">
      <formula>ISNA(BC95)</formula>
    </cfRule>
  </conditionalFormatting>
  <conditionalFormatting sqref="BC100:BE100">
    <cfRule type="expression" dxfId="70" priority="64">
      <formula>ISNA(BC100)</formula>
    </cfRule>
  </conditionalFormatting>
  <conditionalFormatting sqref="BC99:BE99">
    <cfRule type="expression" dxfId="69" priority="63">
      <formula>ISNA(BC99)</formula>
    </cfRule>
  </conditionalFormatting>
  <conditionalFormatting sqref="BC99:BE99">
    <cfRule type="expression" dxfId="68" priority="62">
      <formula>ISNA(BC99)</formula>
    </cfRule>
  </conditionalFormatting>
  <conditionalFormatting sqref="BF100:BH100">
    <cfRule type="expression" dxfId="67" priority="61">
      <formula>ISNA(BF100)</formula>
    </cfRule>
  </conditionalFormatting>
  <conditionalFormatting sqref="BF99:BH99">
    <cfRule type="expression" dxfId="66" priority="60">
      <formula>ISNA(BF99)</formula>
    </cfRule>
  </conditionalFormatting>
  <conditionalFormatting sqref="BF99:BH99">
    <cfRule type="expression" dxfId="65" priority="59">
      <formula>ISNA(BF99)</formula>
    </cfRule>
  </conditionalFormatting>
  <conditionalFormatting sqref="BJ100">
    <cfRule type="expression" dxfId="64" priority="58">
      <formula>ISNA(BJ100)</formula>
    </cfRule>
  </conditionalFormatting>
  <conditionalFormatting sqref="BJ99">
    <cfRule type="expression" dxfId="63" priority="57">
      <formula>ISNA(BJ99)</formula>
    </cfRule>
  </conditionalFormatting>
  <conditionalFormatting sqref="BJ99">
    <cfRule type="expression" dxfId="62" priority="56">
      <formula>ISNA(BJ99)</formula>
    </cfRule>
  </conditionalFormatting>
  <conditionalFormatting sqref="BK100:BM100">
    <cfRule type="expression" dxfId="61" priority="55">
      <formula>ISNA(BK100)</formula>
    </cfRule>
  </conditionalFormatting>
  <conditionalFormatting sqref="BK99:BM99">
    <cfRule type="expression" dxfId="60" priority="54">
      <formula>ISNA(BK99)</formula>
    </cfRule>
  </conditionalFormatting>
  <conditionalFormatting sqref="BK99:BM99">
    <cfRule type="expression" dxfId="59" priority="53">
      <formula>ISNA(BK99)</formula>
    </cfRule>
  </conditionalFormatting>
  <conditionalFormatting sqref="BN100">
    <cfRule type="expression" dxfId="58" priority="52">
      <formula>ISNA(BN100)</formula>
    </cfRule>
  </conditionalFormatting>
  <conditionalFormatting sqref="BN99">
    <cfRule type="expression" dxfId="57" priority="51">
      <formula>ISNA(BN99)</formula>
    </cfRule>
  </conditionalFormatting>
  <conditionalFormatting sqref="BN99">
    <cfRule type="expression" dxfId="56" priority="50">
      <formula>ISNA(BN99)</formula>
    </cfRule>
  </conditionalFormatting>
  <conditionalFormatting sqref="BO100">
    <cfRule type="expression" dxfId="55" priority="49">
      <formula>ISNA(BO100)</formula>
    </cfRule>
  </conditionalFormatting>
  <conditionalFormatting sqref="BO99">
    <cfRule type="expression" dxfId="54" priority="48">
      <formula>ISNA(BO99)</formula>
    </cfRule>
  </conditionalFormatting>
  <conditionalFormatting sqref="BO99">
    <cfRule type="expression" dxfId="53" priority="47">
      <formula>ISNA(BO99)</formula>
    </cfRule>
  </conditionalFormatting>
  <conditionalFormatting sqref="BP100:BR100">
    <cfRule type="expression" dxfId="52" priority="46">
      <formula>ISNA(BP100)</formula>
    </cfRule>
  </conditionalFormatting>
  <conditionalFormatting sqref="BP99:BR99">
    <cfRule type="expression" dxfId="51" priority="45">
      <formula>ISNA(BP99)</formula>
    </cfRule>
  </conditionalFormatting>
  <conditionalFormatting sqref="BP99:BR99">
    <cfRule type="expression" dxfId="50" priority="44">
      <formula>ISNA(BP99)</formula>
    </cfRule>
  </conditionalFormatting>
  <conditionalFormatting sqref="BS100:BU100">
    <cfRule type="expression" dxfId="49" priority="43">
      <formula>ISNA(BS100)</formula>
    </cfRule>
  </conditionalFormatting>
  <conditionalFormatting sqref="BS99:BU99">
    <cfRule type="expression" dxfId="48" priority="42">
      <formula>ISNA(BS99)</formula>
    </cfRule>
  </conditionalFormatting>
  <conditionalFormatting sqref="BS99:BU99">
    <cfRule type="expression" dxfId="47" priority="41">
      <formula>ISNA(BS99)</formula>
    </cfRule>
  </conditionalFormatting>
  <conditionalFormatting sqref="BV100">
    <cfRule type="expression" dxfId="46" priority="40">
      <formula>ISNA(BV100)</formula>
    </cfRule>
  </conditionalFormatting>
  <conditionalFormatting sqref="BV99">
    <cfRule type="expression" dxfId="45" priority="39">
      <formula>ISNA(BV99)</formula>
    </cfRule>
  </conditionalFormatting>
  <conditionalFormatting sqref="BV99">
    <cfRule type="expression" dxfId="44" priority="38">
      <formula>ISNA(BV99)</formula>
    </cfRule>
  </conditionalFormatting>
  <conditionalFormatting sqref="BW100:CA100">
    <cfRule type="expression" dxfId="43" priority="37">
      <formula>ISNA(BW100)</formula>
    </cfRule>
  </conditionalFormatting>
  <conditionalFormatting sqref="BW99:CA99">
    <cfRule type="expression" dxfId="42" priority="36">
      <formula>ISNA(BW99)</formula>
    </cfRule>
  </conditionalFormatting>
  <conditionalFormatting sqref="BW99:CA99">
    <cfRule type="expression" dxfId="41" priority="35">
      <formula>ISNA(BW99)</formula>
    </cfRule>
  </conditionalFormatting>
  <conditionalFormatting sqref="CB100:CF100">
    <cfRule type="expression" dxfId="40" priority="34">
      <formula>ISNA(CB100)</formula>
    </cfRule>
  </conditionalFormatting>
  <conditionalFormatting sqref="CB99:CF99">
    <cfRule type="expression" dxfId="39" priority="33">
      <formula>ISNA(CB99)</formula>
    </cfRule>
  </conditionalFormatting>
  <conditionalFormatting sqref="CB99:CF99">
    <cfRule type="expression" dxfId="38" priority="32">
      <formula>ISNA(CB99)</formula>
    </cfRule>
  </conditionalFormatting>
  <conditionalFormatting sqref="CG100:CK100">
    <cfRule type="expression" dxfId="37" priority="31">
      <formula>ISNA(CG100)</formula>
    </cfRule>
  </conditionalFormatting>
  <conditionalFormatting sqref="CG99:CK99">
    <cfRule type="expression" dxfId="36" priority="30">
      <formula>ISNA(CG99)</formula>
    </cfRule>
  </conditionalFormatting>
  <conditionalFormatting sqref="CG99:CK99">
    <cfRule type="expression" dxfId="35" priority="29">
      <formula>ISNA(CG99)</formula>
    </cfRule>
  </conditionalFormatting>
  <conditionalFormatting sqref="CL100:CP100">
    <cfRule type="expression" dxfId="34" priority="28">
      <formula>ISNA(CL100)</formula>
    </cfRule>
  </conditionalFormatting>
  <conditionalFormatting sqref="CL99:CP99">
    <cfRule type="expression" dxfId="33" priority="27">
      <formula>ISNA(CL99)</formula>
    </cfRule>
  </conditionalFormatting>
  <conditionalFormatting sqref="CL99:CP99">
    <cfRule type="expression" dxfId="32" priority="26">
      <formula>ISNA(CL99)</formula>
    </cfRule>
  </conditionalFormatting>
  <conditionalFormatting sqref="CQ100:CU100">
    <cfRule type="expression" dxfId="31" priority="25">
      <formula>ISNA(CQ100)</formula>
    </cfRule>
  </conditionalFormatting>
  <conditionalFormatting sqref="CQ99:CU99">
    <cfRule type="expression" dxfId="30" priority="24">
      <formula>ISNA(CQ99)</formula>
    </cfRule>
  </conditionalFormatting>
  <conditionalFormatting sqref="CQ99:CU99">
    <cfRule type="expression" dxfId="29" priority="23">
      <formula>ISNA(CQ99)</formula>
    </cfRule>
  </conditionalFormatting>
  <conditionalFormatting sqref="BC91:BH91 BJ91:CY91">
    <cfRule type="expression" dxfId="28" priority="22">
      <formula>ISNA(BC91)</formula>
    </cfRule>
  </conditionalFormatting>
  <conditionalFormatting sqref="BC91:BH91 BJ91:CY91">
    <cfRule type="expression" dxfId="27" priority="21">
      <formula>ISNA(BC91)</formula>
    </cfRule>
  </conditionalFormatting>
  <conditionalFormatting sqref="CV100:CY100">
    <cfRule type="expression" dxfId="26" priority="20">
      <formula>ISNA(CV100)</formula>
    </cfRule>
  </conditionalFormatting>
  <conditionalFormatting sqref="CV99:CY99">
    <cfRule type="expression" dxfId="25" priority="19">
      <formula>ISNA(CV99)</formula>
    </cfRule>
  </conditionalFormatting>
  <conditionalFormatting sqref="CV99:CY99">
    <cfRule type="expression" dxfId="24" priority="18">
      <formula>ISNA(CV99)</formula>
    </cfRule>
  </conditionalFormatting>
  <conditionalFormatting sqref="CV9:CY11">
    <cfRule type="expression" dxfId="23" priority="17">
      <formula>ISNA(CV9)</formula>
    </cfRule>
  </conditionalFormatting>
  <conditionalFormatting sqref="BV87:CY87">
    <cfRule type="expression" dxfId="22" priority="16">
      <formula>ISNA(BV87)</formula>
    </cfRule>
  </conditionalFormatting>
  <conditionalFormatting sqref="DA92:DF98 DA8:DF8 DA3:DF6 DA88:DF90">
    <cfRule type="expression" dxfId="21" priority="15">
      <formula>ISNA(DA3)</formula>
    </cfRule>
  </conditionalFormatting>
  <conditionalFormatting sqref="DA91:DF91">
    <cfRule type="expression" dxfId="20" priority="14">
      <formula>ISNA(DA91)</formula>
    </cfRule>
  </conditionalFormatting>
  <conditionalFormatting sqref="DA91:DF91">
    <cfRule type="expression" dxfId="19" priority="13">
      <formula>ISNA(DA91)</formula>
    </cfRule>
  </conditionalFormatting>
  <conditionalFormatting sqref="DA100:DF100">
    <cfRule type="expression" dxfId="18" priority="12">
      <formula>ISNA(DA100)</formula>
    </cfRule>
  </conditionalFormatting>
  <conditionalFormatting sqref="DA99:DF99">
    <cfRule type="expression" dxfId="17" priority="11">
      <formula>ISNA(DA99)</formula>
    </cfRule>
  </conditionalFormatting>
  <conditionalFormatting sqref="DA99:DF99">
    <cfRule type="expression" dxfId="16" priority="10">
      <formula>ISNA(DA99)</formula>
    </cfRule>
  </conditionalFormatting>
  <conditionalFormatting sqref="DA9:DF11">
    <cfRule type="expression" dxfId="15" priority="9">
      <formula>ISNA(DA9)</formula>
    </cfRule>
  </conditionalFormatting>
  <conditionalFormatting sqref="DA87:DF87">
    <cfRule type="expression" dxfId="14" priority="8">
      <formula>ISNA(DA87)</formula>
    </cfRule>
  </conditionalFormatting>
  <conditionalFormatting sqref="BI92:BI94 BI8:BI90 BI3:BI6">
    <cfRule type="expression" dxfId="13" priority="7">
      <formula>ISNA(BI3)</formula>
    </cfRule>
  </conditionalFormatting>
  <conditionalFormatting sqref="BI95:BI98">
    <cfRule type="expression" dxfId="12" priority="6">
      <formula>ISNA(BI95)</formula>
    </cfRule>
  </conditionalFormatting>
  <conditionalFormatting sqref="BI100">
    <cfRule type="expression" dxfId="11" priority="5">
      <formula>ISNA(BI100)</formula>
    </cfRule>
  </conditionalFormatting>
  <conditionalFormatting sqref="BI99">
    <cfRule type="expression" dxfId="10" priority="4">
      <formula>ISNA(BI99)</formula>
    </cfRule>
  </conditionalFormatting>
  <conditionalFormatting sqref="BI99">
    <cfRule type="expression" dxfId="9" priority="3">
      <formula>ISNA(BI99)</formula>
    </cfRule>
  </conditionalFormatting>
  <conditionalFormatting sqref="BI91">
    <cfRule type="expression" dxfId="8" priority="2">
      <formula>ISNA(BI91)</formula>
    </cfRule>
  </conditionalFormatting>
  <conditionalFormatting sqref="BI91">
    <cfRule type="expression" dxfId="7" priority="1">
      <formula>ISNA(BI91)</formula>
    </cfRule>
  </conditionalFormatting>
  <dataValidations count="1">
    <dataValidation type="list" allowBlank="1" showInputMessage="1" showErrorMessage="1" sqref="W101:W276" xr:uid="{00000000-0002-0000-0A00-000000000000}">
      <formula1>"Add,Replace,ReplaceInsulation,_NA_"</formula1>
    </dataValidation>
  </dataValidations>
  <pageMargins left="0.7" right="0.7" top="0.78740157499999996" bottom="0.78740157499999996"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BBDE0E-71F3-40FE-809E-0AEFF764D510}">
          <x14:formula1>
            <xm:f>OFFSET(Codes!$A$1,MATCH(I$98,Codes!$A:$A,0),2,OFFSET(Codes!$A$1,MATCH(I$98,Codes!$A:$A,0)-1,3,1,1),1)</xm:f>
          </x14:formula1>
          <xm:sqref>O101:R276 I101:M276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D818-3405-48DA-BEA9-1B3919B2748F}">
  <sheetPr>
    <outlinePr summaryBelow="0" summaryRight="0"/>
  </sheetPr>
  <dimension ref="A1:O51"/>
  <sheetViews>
    <sheetView showGridLines="0" topLeftCell="A32" zoomScaleNormal="100" workbookViewId="0">
      <selection activeCell="B34" sqref="B34"/>
    </sheetView>
  </sheetViews>
  <sheetFormatPr baseColWidth="10" defaultRowHeight="10.199999999999999" outlineLevelRow="1"/>
  <cols>
    <col min="1" max="1" width="30.7109375" customWidth="1"/>
    <col min="2" max="2" width="5.28515625" customWidth="1"/>
    <col min="3" max="3" width="35.5703125" customWidth="1"/>
    <col min="4" max="4" width="5.85546875" customWidth="1"/>
    <col min="5" max="5" width="57" customWidth="1"/>
    <col min="6" max="15" width="14.28515625" customWidth="1"/>
  </cols>
  <sheetData>
    <row r="1" spans="1:15" ht="34.200000000000003" customHeight="1" collapsed="1">
      <c r="A1" s="31" t="s">
        <v>546</v>
      </c>
      <c r="B1" s="31" t="s">
        <v>705</v>
      </c>
      <c r="C1" s="31" t="s">
        <v>701</v>
      </c>
      <c r="D1" s="31" t="s">
        <v>2351</v>
      </c>
      <c r="E1" s="31" t="s">
        <v>727</v>
      </c>
      <c r="F1" s="31" t="s">
        <v>707</v>
      </c>
      <c r="G1" s="31" t="s">
        <v>710</v>
      </c>
      <c r="H1" s="31" t="s">
        <v>708</v>
      </c>
      <c r="I1" s="31" t="s">
        <v>709</v>
      </c>
      <c r="J1" s="31" t="s">
        <v>711</v>
      </c>
      <c r="K1" s="31" t="s">
        <v>722</v>
      </c>
      <c r="L1" s="31" t="s">
        <v>725</v>
      </c>
      <c r="M1" s="31" t="s">
        <v>723</v>
      </c>
      <c r="N1" s="31" t="s">
        <v>724</v>
      </c>
      <c r="O1" s="31" t="s">
        <v>726</v>
      </c>
    </row>
    <row r="2" spans="1:15" hidden="1" outlineLevel="1">
      <c r="A2" s="4"/>
      <c r="B2" s="4"/>
      <c r="C2" s="4"/>
      <c r="D2" s="4"/>
      <c r="E2" s="4"/>
      <c r="F2" s="4"/>
      <c r="G2" s="4"/>
      <c r="H2" s="4"/>
      <c r="I2" s="4"/>
      <c r="J2" s="4"/>
      <c r="K2" s="4"/>
      <c r="L2" s="4"/>
      <c r="M2" s="4"/>
      <c r="N2" s="4"/>
      <c r="O2" s="4"/>
    </row>
    <row r="3" spans="1:15" hidden="1" outlineLevel="1">
      <c r="A3" s="4"/>
      <c r="B3" s="4"/>
      <c r="C3" s="4"/>
      <c r="D3" s="4"/>
      <c r="E3" s="4"/>
      <c r="F3" s="4"/>
      <c r="G3" s="4"/>
      <c r="H3" s="4"/>
      <c r="I3" s="4"/>
      <c r="J3" s="4"/>
      <c r="K3" s="4"/>
      <c r="L3" s="4"/>
      <c r="M3" s="4"/>
      <c r="N3" s="4"/>
      <c r="O3" s="4"/>
    </row>
    <row r="4" spans="1:15" hidden="1" outlineLevel="1">
      <c r="A4" s="4"/>
      <c r="B4" s="4"/>
      <c r="C4" s="4"/>
      <c r="D4" s="4"/>
      <c r="E4" s="4"/>
      <c r="F4" s="4"/>
      <c r="G4" s="4"/>
      <c r="H4" s="4"/>
      <c r="I4" s="4"/>
      <c r="J4" s="4"/>
      <c r="K4" s="4"/>
      <c r="L4" s="4"/>
      <c r="M4" s="4"/>
      <c r="N4" s="4"/>
      <c r="O4" s="4"/>
    </row>
    <row r="5" spans="1:15" ht="20.399999999999999" hidden="1" outlineLevel="1">
      <c r="A5" s="2"/>
      <c r="B5" s="2"/>
      <c r="C5" s="99" t="s">
        <v>704</v>
      </c>
      <c r="D5" s="99"/>
      <c r="E5" s="99"/>
      <c r="F5" s="99" t="s">
        <v>704</v>
      </c>
      <c r="G5" s="99" t="s">
        <v>704</v>
      </c>
      <c r="H5" s="99" t="s">
        <v>704</v>
      </c>
      <c r="I5" s="99" t="s">
        <v>704</v>
      </c>
      <c r="J5" s="99" t="s">
        <v>704</v>
      </c>
      <c r="K5" s="99" t="s">
        <v>704</v>
      </c>
      <c r="L5" s="99" t="s">
        <v>704</v>
      </c>
      <c r="M5" s="99" t="s">
        <v>704</v>
      </c>
      <c r="N5" s="99" t="s">
        <v>704</v>
      </c>
      <c r="O5" s="99" t="s">
        <v>704</v>
      </c>
    </row>
    <row r="6" spans="1:15" ht="40.799999999999997" hidden="1" outlineLevel="1">
      <c r="A6" s="2"/>
      <c r="B6" s="2"/>
      <c r="C6" s="99" t="s">
        <v>701</v>
      </c>
      <c r="D6" s="99"/>
      <c r="E6" s="99"/>
      <c r="F6" s="99" t="str">
        <f>F1</f>
        <v>U_Original_CalcModel</v>
      </c>
      <c r="G6" s="99" t="str">
        <f t="shared" ref="G6:O6" si="0">G1</f>
        <v>f_Insulation_CalcModel</v>
      </c>
      <c r="H6" s="99" t="str">
        <f t="shared" si="0"/>
        <v>d_Insulation_CalcModel</v>
      </c>
      <c r="I6" s="99" t="str">
        <f t="shared" si="0"/>
        <v>Lambda_Insulation_CalcModel</v>
      </c>
      <c r="J6" s="99" t="str">
        <f t="shared" si="0"/>
        <v>U_Eff_CalcModel</v>
      </c>
      <c r="K6" s="99" t="str">
        <f t="shared" si="0"/>
        <v>AbsoluteUncertainty_U_Original_CalcModel</v>
      </c>
      <c r="L6" s="99" t="str">
        <f t="shared" si="0"/>
        <v>AbsoluteUncertainty_f_Insulation_CalcModel</v>
      </c>
      <c r="M6" s="99" t="str">
        <f t="shared" si="0"/>
        <v>AbsoluteUncertainty_d_Insulation_CalcModel</v>
      </c>
      <c r="N6" s="99" t="str">
        <f t="shared" si="0"/>
        <v>AbsoluteUncertainty_Lambda_Insulation_CalcModel</v>
      </c>
      <c r="O6" s="99" t="str">
        <f t="shared" si="0"/>
        <v>AbsoluteUncertainty_U_Eff_CalcModel</v>
      </c>
    </row>
    <row r="7" spans="1:15" hidden="1" outlineLevel="1">
      <c r="A7" s="2"/>
      <c r="B7" s="2"/>
      <c r="C7" s="99">
        <f>MATCH(C6,'Calc.U.Uncertainty'!$1:$1,0)</f>
        <v>3</v>
      </c>
      <c r="D7" s="99"/>
      <c r="E7" s="99"/>
      <c r="F7" s="99">
        <f>MATCH(F6,'Calc.U.Uncertainty'!$1:$1,0)</f>
        <v>85</v>
      </c>
      <c r="G7" s="99">
        <f>MATCH(G6,'Calc.U.Uncertainty'!$1:$1,0)</f>
        <v>86</v>
      </c>
      <c r="H7" s="99">
        <f>MATCH(H6,'Calc.U.Uncertainty'!$1:$1,0)</f>
        <v>87</v>
      </c>
      <c r="I7" s="99">
        <f>MATCH(I6,'Calc.U.Uncertainty'!$1:$1,0)</f>
        <v>88</v>
      </c>
      <c r="J7" s="99">
        <f>MATCH(J6,'Calc.U.Uncertainty'!$1:$1,0)</f>
        <v>89</v>
      </c>
      <c r="K7" s="99">
        <f>MATCH(K6,'Calc.U.Uncertainty'!$1:$1,0)</f>
        <v>95</v>
      </c>
      <c r="L7" s="99">
        <f>MATCH(L6,'Calc.U.Uncertainty'!$1:$1,0)</f>
        <v>96</v>
      </c>
      <c r="M7" s="99">
        <f>MATCH(M6,'Calc.U.Uncertainty'!$1:$1,0)</f>
        <v>97</v>
      </c>
      <c r="N7" s="99">
        <f>MATCH(N6,'Calc.U.Uncertainty'!$1:$1,0)</f>
        <v>98</v>
      </c>
      <c r="O7" s="99">
        <f>MATCH(O6,'Calc.U.Uncertainty'!$1:$1,0)</f>
        <v>99</v>
      </c>
    </row>
    <row r="8" spans="1:15" hidden="1" outlineLevel="1">
      <c r="A8" s="2"/>
      <c r="B8" s="2"/>
      <c r="C8" s="99"/>
      <c r="D8" s="99"/>
      <c r="E8" s="99"/>
      <c r="F8" s="99"/>
      <c r="G8" s="99"/>
      <c r="H8" s="99"/>
      <c r="I8" s="99"/>
      <c r="J8" s="99"/>
      <c r="K8" s="99"/>
      <c r="L8" s="99"/>
      <c r="M8" s="99"/>
      <c r="N8" s="99"/>
      <c r="O8" s="99"/>
    </row>
    <row r="9" spans="1:15" hidden="1" outlineLevel="1">
      <c r="A9" s="2"/>
      <c r="B9" s="2"/>
      <c r="C9" s="99"/>
      <c r="D9" s="99"/>
      <c r="E9" s="99"/>
      <c r="F9" s="99"/>
      <c r="G9" s="99"/>
      <c r="H9" s="99"/>
      <c r="I9" s="99"/>
      <c r="J9" s="99"/>
      <c r="K9" s="99"/>
      <c r="L9" s="99"/>
      <c r="M9" s="99"/>
      <c r="N9" s="99"/>
      <c r="O9" s="99"/>
    </row>
    <row r="10" spans="1:15" ht="40.799999999999997" hidden="1" outlineLevel="1">
      <c r="A10" s="2"/>
      <c r="B10" s="2"/>
      <c r="C10" s="99"/>
      <c r="D10" s="99"/>
      <c r="E10" s="99"/>
      <c r="F10" s="99" t="str">
        <f>F1</f>
        <v>U_Original_CalcModel</v>
      </c>
      <c r="G10" s="99" t="str">
        <f t="shared" ref="G10:O10" si="1">G1</f>
        <v>f_Insulation_CalcModel</v>
      </c>
      <c r="H10" s="99" t="str">
        <f t="shared" si="1"/>
        <v>d_Insulation_CalcModel</v>
      </c>
      <c r="I10" s="99" t="str">
        <f t="shared" si="1"/>
        <v>Lambda_Insulation_CalcModel</v>
      </c>
      <c r="J10" s="99" t="str">
        <f t="shared" si="1"/>
        <v>U_Eff_CalcModel</v>
      </c>
      <c r="K10" s="99" t="str">
        <f t="shared" si="1"/>
        <v>AbsoluteUncertainty_U_Original_CalcModel</v>
      </c>
      <c r="L10" s="99" t="str">
        <f t="shared" si="1"/>
        <v>AbsoluteUncertainty_f_Insulation_CalcModel</v>
      </c>
      <c r="M10" s="99" t="str">
        <f t="shared" si="1"/>
        <v>AbsoluteUncertainty_d_Insulation_CalcModel</v>
      </c>
      <c r="N10" s="99" t="str">
        <f t="shared" si="1"/>
        <v>AbsoluteUncertainty_Lambda_Insulation_CalcModel</v>
      </c>
      <c r="O10" s="99" t="str">
        <f t="shared" si="1"/>
        <v>AbsoluteUncertainty_U_Eff_CalcModel</v>
      </c>
    </row>
    <row r="11" spans="1:15" ht="24.6" customHeight="1" collapsed="1">
      <c r="A11" s="28" t="s">
        <v>736</v>
      </c>
      <c r="B11" s="100">
        <f>MATCH(A11,'Calc.U.Uncertainty'!$A:$A,0)</f>
        <v>265</v>
      </c>
      <c r="C11" s="211" t="str">
        <f ca="1">OFFSET('Calc.U.Uncertainty'!$A$1,$B11-1,C$7-1)</f>
        <v>Building from 1960, original | no insulation upgrade</v>
      </c>
      <c r="D11" s="106">
        <v>1</v>
      </c>
      <c r="E11" s="106" t="str">
        <f ca="1">C11</f>
        <v>Building from 1960, original | no insulation upgrade</v>
      </c>
      <c r="F11" s="105">
        <f ca="1">OFFSET('Calc.U.Uncertainty'!$A$1,$B11-1,F$7-1)</f>
        <v>1.1000000000000001</v>
      </c>
      <c r="G11" s="105">
        <f ca="1">OFFSET('Calc.U.Uncertainty'!$A$1,$B11-1,G$7-1)</f>
        <v>0</v>
      </c>
      <c r="H11" s="104">
        <f ca="1">OFFSET('Calc.U.Uncertainty'!$A$1,$B11-1,H$7-1)</f>
        <v>0</v>
      </c>
      <c r="I11" s="22">
        <f ca="1">OFFSET('Calc.U.Uncertainty'!$A$1,$B11-1,I$7-1)</f>
        <v>0</v>
      </c>
      <c r="J11" s="105">
        <f ca="1">OFFSET('Calc.U.Uncertainty'!$A$1,$B11-1,J$7-1)</f>
        <v>1.1000000000000001</v>
      </c>
      <c r="K11" s="105">
        <f ca="1">OFFSET('Calc.U.Uncertainty'!$A$1,$B11-1,K$7-1)</f>
        <v>0.33</v>
      </c>
      <c r="L11" s="105">
        <f ca="1">OFFSET('Calc.U.Uncertainty'!$A$1,$B11-1,L$7-1)</f>
        <v>0</v>
      </c>
      <c r="M11" s="104">
        <f ca="1">OFFSET('Calc.U.Uncertainty'!$A$1,$B11-1,M$7-1)</f>
        <v>0</v>
      </c>
      <c r="N11" s="22">
        <f ca="1">OFFSET('Calc.U.Uncertainty'!$A$1,$B11-1,N$7-1)</f>
        <v>0</v>
      </c>
      <c r="O11" s="105">
        <f ca="1">OFFSET('Calc.U.Uncertainty'!$A$1,$B11-1,O$7-1)</f>
        <v>0.33</v>
      </c>
    </row>
    <row r="12" spans="1:15" ht="24.6" customHeight="1">
      <c r="A12" s="28" t="s">
        <v>737</v>
      </c>
      <c r="B12" s="100">
        <f>MATCH(A12,'Calc.U.Uncertainty'!$A:$A,0)</f>
        <v>266</v>
      </c>
      <c r="C12" s="211" t="str">
        <f ca="1">OFFSET('Calc.U.Uncertainty'!$A$1,$B12-1,C$7-1)</f>
        <v>Building from 1980, original | no insulation upgrade</v>
      </c>
      <c r="D12" s="106">
        <v>2</v>
      </c>
      <c r="E12" s="106" t="str">
        <f t="shared" ref="E12:E22" ca="1" si="2">C12</f>
        <v>Building from 1980, original | no insulation upgrade</v>
      </c>
      <c r="F12" s="105">
        <f ca="1">OFFSET('Calc.U.Uncertainty'!$A$1,$B12-1,F$7-1)</f>
        <v>0.6</v>
      </c>
      <c r="G12" s="105">
        <f ca="1">OFFSET('Calc.U.Uncertainty'!$A$1,$B12-1,G$7-1)</f>
        <v>0</v>
      </c>
      <c r="H12" s="104">
        <f ca="1">OFFSET('Calc.U.Uncertainty'!$A$1,$B12-1,H$7-1)</f>
        <v>0</v>
      </c>
      <c r="I12" s="22">
        <f ca="1">OFFSET('Calc.U.Uncertainty'!$A$1,$B12-1,I$7-1)</f>
        <v>0</v>
      </c>
      <c r="J12" s="105">
        <f ca="1">OFFSET('Calc.U.Uncertainty'!$A$1,$B12-1,J$7-1)</f>
        <v>0.6</v>
      </c>
      <c r="K12" s="105">
        <f ca="1">OFFSET('Calc.U.Uncertainty'!$A$1,$B12-1,K$7-1)</f>
        <v>0.18</v>
      </c>
      <c r="L12" s="105">
        <f ca="1">OFFSET('Calc.U.Uncertainty'!$A$1,$B12-1,L$7-1)</f>
        <v>0</v>
      </c>
      <c r="M12" s="104">
        <f ca="1">OFFSET('Calc.U.Uncertainty'!$A$1,$B12-1,M$7-1)</f>
        <v>0</v>
      </c>
      <c r="N12" s="22">
        <f ca="1">OFFSET('Calc.U.Uncertainty'!$A$1,$B12-1,N$7-1)</f>
        <v>0</v>
      </c>
      <c r="O12" s="105">
        <f ca="1">OFFSET('Calc.U.Uncertainty'!$A$1,$B12-1,O$7-1)</f>
        <v>0.18</v>
      </c>
    </row>
    <row r="13" spans="1:15" ht="24.6" customHeight="1">
      <c r="A13" s="28" t="s">
        <v>738</v>
      </c>
      <c r="B13" s="100">
        <f>MATCH(A13,'Calc.U.Uncertainty'!$A:$A,0)</f>
        <v>267</v>
      </c>
      <c r="C13" s="211" t="str">
        <f ca="1">OFFSET('Calc.U.Uncertainty'!$A$1,$B13-1,C$7-1)</f>
        <v>Building from 2000, original | no insulation upgrade</v>
      </c>
      <c r="D13" s="106">
        <v>3</v>
      </c>
      <c r="E13" s="106" t="str">
        <f t="shared" ca="1" si="2"/>
        <v>Building from 2000, original | no insulation upgrade</v>
      </c>
      <c r="F13" s="105">
        <f ca="1">OFFSET('Calc.U.Uncertainty'!$A$1,$B13-1,F$7-1)</f>
        <v>0.25</v>
      </c>
      <c r="G13" s="105">
        <f ca="1">OFFSET('Calc.U.Uncertainty'!$A$1,$B13-1,G$7-1)</f>
        <v>0</v>
      </c>
      <c r="H13" s="104">
        <f ca="1">OFFSET('Calc.U.Uncertainty'!$A$1,$B13-1,H$7-1)</f>
        <v>0</v>
      </c>
      <c r="I13" s="22">
        <f ca="1">OFFSET('Calc.U.Uncertainty'!$A$1,$B13-1,I$7-1)</f>
        <v>0</v>
      </c>
      <c r="J13" s="105">
        <f ca="1">OFFSET('Calc.U.Uncertainty'!$A$1,$B13-1,J$7-1)</f>
        <v>0.25</v>
      </c>
      <c r="K13" s="105">
        <f ca="1">OFFSET('Calc.U.Uncertainty'!$A$1,$B13-1,K$7-1)</f>
        <v>0.05</v>
      </c>
      <c r="L13" s="105">
        <f ca="1">OFFSET('Calc.U.Uncertainty'!$A$1,$B13-1,L$7-1)</f>
        <v>0</v>
      </c>
      <c r="M13" s="104">
        <f ca="1">OFFSET('Calc.U.Uncertainty'!$A$1,$B13-1,M$7-1)</f>
        <v>0</v>
      </c>
      <c r="N13" s="22">
        <f ca="1">OFFSET('Calc.U.Uncertainty'!$A$1,$B13-1,N$7-1)</f>
        <v>0</v>
      </c>
      <c r="O13" s="105">
        <f ca="1">OFFSET('Calc.U.Uncertainty'!$A$1,$B13-1,O$7-1)</f>
        <v>0.05</v>
      </c>
    </row>
    <row r="14" spans="1:15" ht="24.6" customHeight="1">
      <c r="A14" s="28" t="s">
        <v>739</v>
      </c>
      <c r="B14" s="100">
        <f>MATCH(A14,'Calc.U.Uncertainty'!$A:$A,0)</f>
        <v>268</v>
      </c>
      <c r="C14" s="211" t="str">
        <f ca="1">OFFSET('Calc.U.Uncertainty'!$A$1,$B14-1,C$7-1)</f>
        <v>Building from 1960, insulation upgrade: d = 4 cm | f = 1.00 | Lambda = 0.045 | data from records</v>
      </c>
      <c r="D14" s="106">
        <v>4</v>
      </c>
      <c r="E14" s="106" t="str">
        <f t="shared" ca="1" si="2"/>
        <v>Building from 1960, insulation upgrade: d = 4 cm | f = 1.00 | Lambda = 0.045 | data from records</v>
      </c>
      <c r="F14" s="105">
        <f ca="1">OFFSET('Calc.U.Uncertainty'!$A$1,$B14-1,F$7-1)</f>
        <v>1.1000000000000001</v>
      </c>
      <c r="G14" s="105">
        <f ca="1">OFFSET('Calc.U.Uncertainty'!$A$1,$B14-1,G$7-1)</f>
        <v>1</v>
      </c>
      <c r="H14" s="104">
        <f ca="1">OFFSET('Calc.U.Uncertainty'!$A$1,$B14-1,H$7-1)</f>
        <v>4</v>
      </c>
      <c r="I14" s="22">
        <f ca="1">OFFSET('Calc.U.Uncertainty'!$A$1,$B14-1,I$7-1)</f>
        <v>4.4999999999999998E-2</v>
      </c>
      <c r="J14" s="105">
        <f ca="1">OFFSET('Calc.U.Uncertainty'!$A$1,$B14-1,J$7-1)</f>
        <v>0.5561797752808989</v>
      </c>
      <c r="K14" s="105">
        <f ca="1">OFFSET('Calc.U.Uncertainty'!$A$1,$B14-1,K$7-1)</f>
        <v>0.33</v>
      </c>
      <c r="L14" s="105">
        <f ca="1">OFFSET('Calc.U.Uncertainty'!$A$1,$B14-1,L$7-1)</f>
        <v>0</v>
      </c>
      <c r="M14" s="104">
        <f ca="1">OFFSET('Calc.U.Uncertainty'!$A$1,$B14-1,M$7-1)</f>
        <v>1</v>
      </c>
      <c r="N14" s="22">
        <f ca="1">OFFSET('Calc.U.Uncertainty'!$A$1,$B14-1,N$7-1)</f>
        <v>6.7499999999999999E-3</v>
      </c>
      <c r="O14" s="105">
        <f ca="1">OFFSET('Calc.U.Uncertainty'!$A$1,$B14-1,O$7-1)</f>
        <v>0.11637802733394169</v>
      </c>
    </row>
    <row r="15" spans="1:15" ht="24.6" customHeight="1">
      <c r="A15" s="28" t="s">
        <v>740</v>
      </c>
      <c r="B15" s="100">
        <f>MATCH(A15,'Calc.U.Uncertainty'!$A:$A,0)</f>
        <v>269</v>
      </c>
      <c r="C15" s="211" t="str">
        <f ca="1">OFFSET('Calc.U.Uncertainty'!$A$1,$B15-1,C$7-1)</f>
        <v>Building from 1960, insulation upgrade: d = 16 cm | f = 1.00 | Lambda = 0.035 | data from records</v>
      </c>
      <c r="D15" s="106">
        <v>5</v>
      </c>
      <c r="E15" s="106" t="str">
        <f t="shared" ca="1" si="2"/>
        <v>Building from 1960, insulation upgrade: d = 16 cm | f = 1.00 | Lambda = 0.035 | data from records</v>
      </c>
      <c r="F15" s="105">
        <f ca="1">OFFSET('Calc.U.Uncertainty'!$A$1,$B15-1,F$7-1)</f>
        <v>1.1000000000000001</v>
      </c>
      <c r="G15" s="105">
        <f ca="1">OFFSET('Calc.U.Uncertainty'!$A$1,$B15-1,G$7-1)</f>
        <v>1</v>
      </c>
      <c r="H15" s="104">
        <f ca="1">OFFSET('Calc.U.Uncertainty'!$A$1,$B15-1,H$7-1)</f>
        <v>16</v>
      </c>
      <c r="I15" s="22">
        <f ca="1">OFFSET('Calc.U.Uncertainty'!$A$1,$B15-1,I$7-1)</f>
        <v>3.5000000000000003E-2</v>
      </c>
      <c r="J15" s="105">
        <f ca="1">OFFSET('Calc.U.Uncertainty'!$A$1,$B15-1,J$7-1)</f>
        <v>0.18246445497630331</v>
      </c>
      <c r="K15" s="105">
        <f ca="1">OFFSET('Calc.U.Uncertainty'!$A$1,$B15-1,K$7-1)</f>
        <v>0.33</v>
      </c>
      <c r="L15" s="105">
        <f ca="1">OFFSET('Calc.U.Uncertainty'!$A$1,$B15-1,L$7-1)</f>
        <v>0</v>
      </c>
      <c r="M15" s="104">
        <f ca="1">OFFSET('Calc.U.Uncertainty'!$A$1,$B15-1,M$7-1)</f>
        <v>2</v>
      </c>
      <c r="N15" s="22">
        <f ca="1">OFFSET('Calc.U.Uncertainty'!$A$1,$B15-1,N$7-1)</f>
        <v>5.2500000000000003E-3</v>
      </c>
      <c r="O15" s="105">
        <f ca="1">OFFSET('Calc.U.Uncertainty'!$A$1,$B15-1,O$7-1)</f>
        <v>3.107379235687897E-2</v>
      </c>
    </row>
    <row r="16" spans="1:15" ht="24.6" customHeight="1">
      <c r="A16" s="28" t="s">
        <v>741</v>
      </c>
      <c r="B16" s="100">
        <f>MATCH(A16,'Calc.U.Uncertainty'!$A:$A,0)</f>
        <v>270</v>
      </c>
      <c r="C16" s="211" t="str">
        <f ca="1">OFFSET('Calc.U.Uncertainty'!$A$1,$B16-1,C$7-1)</f>
        <v>Building from 1960, insulation upgrade: d = 16 cm | f = 1.00 | Lambda = 0.035 | design data</v>
      </c>
      <c r="D16" s="106">
        <v>6</v>
      </c>
      <c r="E16" s="106" t="str">
        <f t="shared" ca="1" si="2"/>
        <v>Building from 1960, insulation upgrade: d = 16 cm | f = 1.00 | Lambda = 0.035 | design data</v>
      </c>
      <c r="F16" s="105">
        <f ca="1">OFFSET('Calc.U.Uncertainty'!$A$1,$B16-1,F$7-1)</f>
        <v>1.1000000000000001</v>
      </c>
      <c r="G16" s="105">
        <f ca="1">OFFSET('Calc.U.Uncertainty'!$A$1,$B16-1,G$7-1)</f>
        <v>1</v>
      </c>
      <c r="H16" s="104">
        <f ca="1">OFFSET('Calc.U.Uncertainty'!$A$1,$B16-1,H$7-1)</f>
        <v>16</v>
      </c>
      <c r="I16" s="22">
        <f ca="1">OFFSET('Calc.U.Uncertainty'!$A$1,$B16-1,I$7-1)</f>
        <v>3.5000000000000003E-2</v>
      </c>
      <c r="J16" s="105">
        <f ca="1">OFFSET('Calc.U.Uncertainty'!$A$1,$B16-1,J$7-1)</f>
        <v>0.18246445497630331</v>
      </c>
      <c r="K16" s="105">
        <f ca="1">OFFSET('Calc.U.Uncertainty'!$A$1,$B16-1,K$7-1)</f>
        <v>0.33</v>
      </c>
      <c r="L16" s="105">
        <f ca="1">OFFSET('Calc.U.Uncertainty'!$A$1,$B16-1,L$7-1)</f>
        <v>0</v>
      </c>
      <c r="M16" s="104">
        <f ca="1">OFFSET('Calc.U.Uncertainty'!$A$1,$B16-1,M$7-1)</f>
        <v>1</v>
      </c>
      <c r="N16" s="22">
        <f ca="1">OFFSET('Calc.U.Uncertainty'!$A$1,$B16-1,N$7-1)</f>
        <v>3.5000000000000005E-3</v>
      </c>
      <c r="O16" s="105">
        <f ca="1">OFFSET('Calc.U.Uncertainty'!$A$1,$B16-1,O$7-1)</f>
        <v>2.0114000900774458E-2</v>
      </c>
    </row>
    <row r="17" spans="1:15" ht="24.6" customHeight="1">
      <c r="A17" s="28" t="s">
        <v>742</v>
      </c>
      <c r="B17" s="100">
        <f>MATCH(A17,'Calc.U.Uncertainty'!$A:$A,0)</f>
        <v>271</v>
      </c>
      <c r="C17" s="211" t="str">
        <f ca="1">OFFSET('Calc.U.Uncertainty'!$A$1,$B17-1,C$7-1)</f>
        <v>Building from 1960, insulation upgrade: d = 16 cm | f = 1.00 | Lambda = 0.035 | design data with quality assurance</v>
      </c>
      <c r="D17" s="106">
        <v>7</v>
      </c>
      <c r="E17" s="106" t="str">
        <f t="shared" ca="1" si="2"/>
        <v>Building from 1960, insulation upgrade: d = 16 cm | f = 1.00 | Lambda = 0.035 | design data with quality assurance</v>
      </c>
      <c r="F17" s="105">
        <f ca="1">OFFSET('Calc.U.Uncertainty'!$A$1,$B17-1,F$7-1)</f>
        <v>1.1000000000000001</v>
      </c>
      <c r="G17" s="105">
        <f ca="1">OFFSET('Calc.U.Uncertainty'!$A$1,$B17-1,G$7-1)</f>
        <v>1</v>
      </c>
      <c r="H17" s="104">
        <f ca="1">OFFSET('Calc.U.Uncertainty'!$A$1,$B17-1,H$7-1)</f>
        <v>16</v>
      </c>
      <c r="I17" s="22">
        <f ca="1">OFFSET('Calc.U.Uncertainty'!$A$1,$B17-1,I$7-1)</f>
        <v>3.5000000000000003E-2</v>
      </c>
      <c r="J17" s="105">
        <f ca="1">OFFSET('Calc.U.Uncertainty'!$A$1,$B17-1,J$7-1)</f>
        <v>0.18246445497630331</v>
      </c>
      <c r="K17" s="105">
        <f ca="1">OFFSET('Calc.U.Uncertainty'!$A$1,$B17-1,K$7-1)</f>
        <v>0.33</v>
      </c>
      <c r="L17" s="105">
        <f ca="1">OFFSET('Calc.U.Uncertainty'!$A$1,$B17-1,L$7-1)</f>
        <v>0</v>
      </c>
      <c r="M17" s="104">
        <f ca="1">OFFSET('Calc.U.Uncertainty'!$A$1,$B17-1,M$7-1)</f>
        <v>0.5</v>
      </c>
      <c r="N17" s="22">
        <f ca="1">OFFSET('Calc.U.Uncertainty'!$A$1,$B17-1,N$7-1)</f>
        <v>1.7500000000000003E-3</v>
      </c>
      <c r="O17" s="105">
        <f ca="1">OFFSET('Calc.U.Uncertainty'!$A$1,$B17-1,O$7-1)</f>
        <v>1.276627784562093E-2</v>
      </c>
    </row>
    <row r="18" spans="1:15" ht="24.6" customHeight="1">
      <c r="A18" s="28" t="s">
        <v>743</v>
      </c>
      <c r="B18" s="100">
        <f>MATCH(A18,'Calc.U.Uncertainty'!$A:$A,0)</f>
        <v>272</v>
      </c>
      <c r="C18" s="211" t="str">
        <f ca="1">OFFSET('Calc.U.Uncertainty'!$A$1,$B18-1,C$7-1)</f>
        <v>Building from 1960, insulation upgrade: d = 30 cm | f = 0.50 | Lambda = 0.035 | data from ex-post-elevation</v>
      </c>
      <c r="D18" s="106">
        <v>8</v>
      </c>
      <c r="E18" s="106" t="str">
        <f t="shared" ca="1" si="2"/>
        <v>Building from 1960, insulation upgrade: d = 30 cm | f = 0.50 | Lambda = 0.035 | data from ex-post-elevation</v>
      </c>
      <c r="F18" s="105">
        <f ca="1">OFFSET('Calc.U.Uncertainty'!$A$1,$B18-1,F$7-1)</f>
        <v>1.1000000000000001</v>
      </c>
      <c r="G18" s="105">
        <f ca="1">OFFSET('Calc.U.Uncertainty'!$A$1,$B18-1,G$7-1)</f>
        <v>0.5</v>
      </c>
      <c r="H18" s="104">
        <f ca="1">OFFSET('Calc.U.Uncertainty'!$A$1,$B18-1,H$7-1)</f>
        <v>30</v>
      </c>
      <c r="I18" s="22">
        <f ca="1">OFFSET('Calc.U.Uncertainty'!$A$1,$B18-1,I$7-1)</f>
        <v>3.5000000000000003E-2</v>
      </c>
      <c r="J18" s="105">
        <f ca="1">OFFSET('Calc.U.Uncertainty'!$A$1,$B18-1,J$7-1)</f>
        <v>0.60273972602739734</v>
      </c>
      <c r="K18" s="105">
        <f ca="1">OFFSET('Calc.U.Uncertainty'!$A$1,$B18-1,K$7-1)</f>
        <v>0.33</v>
      </c>
      <c r="L18" s="105">
        <f ca="1">OFFSET('Calc.U.Uncertainty'!$A$1,$B18-1,L$7-1)</f>
        <v>0.2</v>
      </c>
      <c r="M18" s="104">
        <f ca="1">OFFSET('Calc.U.Uncertainty'!$A$1,$B18-1,M$7-1)</f>
        <v>2</v>
      </c>
      <c r="N18" s="22">
        <f ca="1">OFFSET('Calc.U.Uncertainty'!$A$1,$B18-1,N$7-1)</f>
        <v>5.2500000000000003E-3</v>
      </c>
      <c r="O18" s="105">
        <f ca="1">OFFSET('Calc.U.Uncertainty'!$A$1,$B18-1,O$7-1)</f>
        <v>0.25952278168225701</v>
      </c>
    </row>
    <row r="19" spans="1:15" ht="24.6" customHeight="1">
      <c r="A19" s="28" t="s">
        <v>744</v>
      </c>
      <c r="B19" s="100">
        <f>MATCH(A19,'Calc.U.Uncertainty'!$A:$A,0)</f>
        <v>273</v>
      </c>
      <c r="C19" s="211" t="str">
        <f ca="1">OFFSET('Calc.U.Uncertainty'!$A$1,$B19-1,C$7-1)</f>
        <v>Building from 1960, insulation upgrade: d = 30 cm | f = 1.00 | Lambda = 0.035 | data from ex-post-elevation</v>
      </c>
      <c r="D19" s="106">
        <v>9</v>
      </c>
      <c r="E19" s="106" t="str">
        <f t="shared" ca="1" si="2"/>
        <v>Building from 1960, insulation upgrade: d = 30 cm | f = 1.00 | Lambda = 0.035 | data from ex-post-elevation</v>
      </c>
      <c r="F19" s="105">
        <f ca="1">OFFSET('Calc.U.Uncertainty'!$A$1,$B19-1,F$7-1)</f>
        <v>1.1000000000000001</v>
      </c>
      <c r="G19" s="105">
        <f ca="1">OFFSET('Calc.U.Uncertainty'!$A$1,$B19-1,G$7-1)</f>
        <v>1</v>
      </c>
      <c r="H19" s="104">
        <f ca="1">OFFSET('Calc.U.Uncertainty'!$A$1,$B19-1,H$7-1)</f>
        <v>30</v>
      </c>
      <c r="I19" s="22">
        <f ca="1">OFFSET('Calc.U.Uncertainty'!$A$1,$B19-1,I$7-1)</f>
        <v>3.5000000000000003E-2</v>
      </c>
      <c r="J19" s="105">
        <f ca="1">OFFSET('Calc.U.Uncertainty'!$A$1,$B19-1,J$7-1)</f>
        <v>0.10547945205479453</v>
      </c>
      <c r="K19" s="105">
        <f ca="1">OFFSET('Calc.U.Uncertainty'!$A$1,$B19-1,K$7-1)</f>
        <v>0.33</v>
      </c>
      <c r="L19" s="105">
        <f ca="1">OFFSET('Calc.U.Uncertainty'!$A$1,$B19-1,L$7-1)</f>
        <v>0</v>
      </c>
      <c r="M19" s="104">
        <f ca="1">OFFSET('Calc.U.Uncertainty'!$A$1,$B19-1,M$7-1)</f>
        <v>2</v>
      </c>
      <c r="N19" s="22">
        <f ca="1">OFFSET('Calc.U.Uncertainty'!$A$1,$B19-1,N$7-1)</f>
        <v>5.2500000000000003E-3</v>
      </c>
      <c r="O19" s="105">
        <f ca="1">OFFSET('Calc.U.Uncertainty'!$A$1,$B19-1,O$7-1)</f>
        <v>1.5945310837621209E-2</v>
      </c>
    </row>
    <row r="20" spans="1:15" ht="24.6" customHeight="1">
      <c r="A20" s="28" t="s">
        <v>745</v>
      </c>
      <c r="B20" s="100">
        <f>MATCH(A20,'Calc.U.Uncertainty'!$A:$A,0)</f>
        <v>274</v>
      </c>
      <c r="C20" s="211" t="str">
        <f ca="1">OFFSET('Calc.U.Uncertainty'!$A$1,$B20-1,C$7-1)</f>
        <v>Building from 1960, no information if insulation upgrade has been performed [values used for f and d: average of all buildings*]</v>
      </c>
      <c r="D20" s="106">
        <v>10</v>
      </c>
      <c r="E20" s="106" t="str">
        <f t="shared" ca="1" si="2"/>
        <v>Building from 1960, no information if insulation upgrade has been performed [values used for f and d: average of all buildings*]</v>
      </c>
      <c r="F20" s="105">
        <f ca="1">OFFSET('Calc.U.Uncertainty'!$A$1,$B20-1,F$7-1)</f>
        <v>1.1000000000000001</v>
      </c>
      <c r="G20" s="105">
        <f ca="1">OFFSET('Calc.U.Uncertainty'!$A$1,$B20-1,G$7-1)</f>
        <v>0.62</v>
      </c>
      <c r="H20" s="104">
        <f ca="1">OFFSET('Calc.U.Uncertainty'!$A$1,$B20-1,H$7-1)</f>
        <v>12</v>
      </c>
      <c r="I20" s="22">
        <f ca="1">OFFSET('Calc.U.Uncertainty'!$A$1,$B20-1,I$7-1)</f>
        <v>0.04</v>
      </c>
      <c r="J20" s="105">
        <f ca="1">OFFSET('Calc.U.Uncertainty'!$A$1,$B20-1,J$7-1)</f>
        <v>0.57660465116279069</v>
      </c>
      <c r="K20" s="105">
        <f ca="1">OFFSET('Calc.U.Uncertainty'!$A$1,$B20-1,K$7-1)</f>
        <v>0.33</v>
      </c>
      <c r="L20" s="105">
        <f ca="1">OFFSET('Calc.U.Uncertainty'!$A$1,$B20-1,L$7-1)</f>
        <v>0.38</v>
      </c>
      <c r="M20" s="104">
        <f ca="1">OFFSET('Calc.U.Uncertainty'!$A$1,$B20-1,M$7-1)</f>
        <v>6</v>
      </c>
      <c r="N20" s="22">
        <f ca="1">OFFSET('Calc.U.Uncertainty'!$A$1,$B20-1,N$7-1)</f>
        <v>1.2E-2</v>
      </c>
      <c r="O20" s="105">
        <f ca="1">OFFSET('Calc.U.Uncertainty'!$A$1,$B20-1,O$7-1)</f>
        <v>0.35576232735259378</v>
      </c>
    </row>
    <row r="21" spans="1:15" ht="24.6" customHeight="1">
      <c r="A21" s="28" t="s">
        <v>746</v>
      </c>
      <c r="B21" s="100">
        <f>MATCH(A21,'Calc.U.Uncertainty'!$A:$A,0)</f>
        <v>275</v>
      </c>
      <c r="C21" s="211" t="str">
        <f ca="1">OFFSET('Calc.U.Uncertainty'!$A$1,$B21-1,C$7-1)</f>
        <v>Building from 1960, insulation upgrade in 1990; no information about d and f [values used: average of refurbished buildings*]</v>
      </c>
      <c r="D21" s="106">
        <v>11</v>
      </c>
      <c r="E21" s="106" t="str">
        <f t="shared" ca="1" si="2"/>
        <v>Building from 1960, insulation upgrade in 1990; no information about d and f [values used: average of refurbished buildings*]</v>
      </c>
      <c r="F21" s="105">
        <f ca="1">OFFSET('Calc.U.Uncertainty'!$A$1,$B21-1,F$7-1)</f>
        <v>1.1000000000000001</v>
      </c>
      <c r="G21" s="105">
        <f ca="1">OFFSET('Calc.U.Uncertainty'!$A$1,$B21-1,G$7-1)</f>
        <v>0.9</v>
      </c>
      <c r="H21" s="104">
        <f ca="1">OFFSET('Calc.U.Uncertainty'!$A$1,$B21-1,H$7-1)</f>
        <v>9</v>
      </c>
      <c r="I21" s="22">
        <f ca="1">OFFSET('Calc.U.Uncertainty'!$A$1,$B21-1,I$7-1)</f>
        <v>0.04</v>
      </c>
      <c r="J21" s="105">
        <f ca="1">OFFSET('Calc.U.Uncertainty'!$A$1,$B21-1,J$7-1)</f>
        <v>0.3948920863309352</v>
      </c>
      <c r="K21" s="105">
        <f ca="1">OFFSET('Calc.U.Uncertainty'!$A$1,$B21-1,K$7-1)</f>
        <v>0.33</v>
      </c>
      <c r="L21" s="105">
        <f ca="1">OFFSET('Calc.U.Uncertainty'!$A$1,$B21-1,L$7-1)</f>
        <v>9.9999999999999978E-2</v>
      </c>
      <c r="M21" s="104">
        <f ca="1">OFFSET('Calc.U.Uncertainty'!$A$1,$B21-1,M$7-1)</f>
        <v>3.6</v>
      </c>
      <c r="N21" s="22">
        <f ca="1">OFFSET('Calc.U.Uncertainty'!$A$1,$B21-1,N$7-1)</f>
        <v>8.0000000000000002E-3</v>
      </c>
      <c r="O21" s="105">
        <f ca="1">OFFSET('Calc.U.Uncertainty'!$A$1,$B21-1,O$7-1)</f>
        <v>0.1330021283494664</v>
      </c>
    </row>
    <row r="22" spans="1:15" ht="24.6" customHeight="1">
      <c r="A22" s="28" t="s">
        <v>1014</v>
      </c>
      <c r="B22" s="100">
        <f>MATCH(A22,'Calc.U.Uncertainty'!$A:$A,0)</f>
        <v>276</v>
      </c>
      <c r="C22" s="211" t="str">
        <f ca="1">OFFSET('Calc.U.Uncertainty'!$A$1,$B22-1,C$7-1)</f>
        <v>Building from 1960, insul. upgr. in 2017 | no information about d and f [values used: average of refurbished buildings*]</v>
      </c>
      <c r="D22" s="106">
        <v>12</v>
      </c>
      <c r="E22" s="106" t="str">
        <f t="shared" ca="1" si="2"/>
        <v>Building from 1960, insul. upgr. in 2017 | no information about d and f [values used: average of refurbished buildings*]</v>
      </c>
      <c r="F22" s="105">
        <f ca="1">OFFSET('Calc.U.Uncertainty'!$A$1,$B22-1,F$7-1)</f>
        <v>1.1000000000000001</v>
      </c>
      <c r="G22" s="105">
        <f ca="1">OFFSET('Calc.U.Uncertainty'!$A$1,$B22-1,G$7-1)</f>
        <v>0.9</v>
      </c>
      <c r="H22" s="104">
        <f ca="1">OFFSET('Calc.U.Uncertainty'!$A$1,$B22-1,H$7-1)</f>
        <v>15</v>
      </c>
      <c r="I22" s="22">
        <f ca="1">OFFSET('Calc.U.Uncertainty'!$A$1,$B22-1,I$7-1)</f>
        <v>3.5000000000000003E-2</v>
      </c>
      <c r="J22" s="105">
        <f ca="1">OFFSET('Calc.U.Uncertainty'!$A$1,$B22-1,J$7-1)</f>
        <v>0.28325</v>
      </c>
      <c r="K22" s="105">
        <f ca="1">OFFSET('Calc.U.Uncertainty'!$A$1,$B22-1,K$7-1)</f>
        <v>0.33</v>
      </c>
      <c r="L22" s="105">
        <f ca="1">OFFSET('Calc.U.Uncertainty'!$A$1,$B22-1,L$7-1)</f>
        <v>9.9999999999999978E-2</v>
      </c>
      <c r="M22" s="104">
        <f ca="1">OFFSET('Calc.U.Uncertainty'!$A$1,$B22-1,M$7-1)</f>
        <v>5</v>
      </c>
      <c r="N22" s="22">
        <f ca="1">OFFSET('Calc.U.Uncertainty'!$A$1,$B22-1,N$7-1)</f>
        <v>7.000000000000001E-3</v>
      </c>
      <c r="O22" s="105">
        <f ca="1">OFFSET('Calc.U.Uncertainty'!$A$1,$B22-1,O$7-1)</f>
        <v>0.11443209666551435</v>
      </c>
    </row>
    <row r="27" spans="1:15">
      <c r="E27" t="s">
        <v>1028</v>
      </c>
    </row>
    <row r="28" spans="1:15">
      <c r="E28" t="s">
        <v>1012</v>
      </c>
      <c r="F28" s="108" t="str">
        <f>"0,00"</f>
        <v>0,00</v>
      </c>
      <c r="G28" s="108" t="str">
        <f t="shared" ref="G28:G29" si="3">"0,00"</f>
        <v>0,00</v>
      </c>
      <c r="H28" s="108" t="str">
        <f>"0"</f>
        <v>0</v>
      </c>
      <c r="I28" s="108" t="str">
        <f>"0,000"</f>
        <v>0,000</v>
      </c>
      <c r="J28" s="108" t="str">
        <f>"0,000"</f>
        <v>0,000</v>
      </c>
    </row>
    <row r="29" spans="1:15">
      <c r="E29" t="s">
        <v>1013</v>
      </c>
      <c r="F29" s="108" t="str">
        <f>"0,00"</f>
        <v>0,00</v>
      </c>
      <c r="G29" s="108" t="str">
        <f t="shared" si="3"/>
        <v>0,00</v>
      </c>
      <c r="H29" s="108" t="str">
        <f>"0,0"</f>
        <v>0,0</v>
      </c>
      <c r="I29" s="108" t="str">
        <f>"0,000"</f>
        <v>0,000</v>
      </c>
      <c r="J29" s="108" t="str">
        <f>"0,000"</f>
        <v>0,000</v>
      </c>
    </row>
    <row r="30" spans="1:15">
      <c r="D30" s="107"/>
      <c r="E30" s="107"/>
      <c r="F30" s="107"/>
      <c r="G30" s="107"/>
      <c r="H30" s="107"/>
      <c r="I30" s="107"/>
      <c r="J30" s="107"/>
    </row>
    <row r="31" spans="1:15">
      <c r="D31" s="107"/>
      <c r="E31" s="107"/>
      <c r="F31" s="107"/>
      <c r="G31" s="107"/>
      <c r="H31" s="107"/>
      <c r="I31" s="107"/>
      <c r="J31" s="107"/>
    </row>
    <row r="32" spans="1:15">
      <c r="D32" s="107"/>
      <c r="E32" s="107"/>
      <c r="F32" s="107"/>
      <c r="G32" s="107"/>
      <c r="H32" s="107"/>
      <c r="I32" s="107"/>
      <c r="J32" s="107"/>
    </row>
    <row r="33" spans="4:10">
      <c r="D33" s="107"/>
      <c r="E33" s="107"/>
      <c r="F33" s="107"/>
      <c r="G33" s="107"/>
      <c r="H33" s="107"/>
      <c r="I33" s="107"/>
      <c r="J33" s="107"/>
    </row>
    <row r="34" spans="4:10" ht="33.6" customHeight="1">
      <c r="D34" s="109"/>
      <c r="E34" s="109"/>
      <c r="F34" s="110" t="s">
        <v>732</v>
      </c>
      <c r="G34" s="110" t="s">
        <v>733</v>
      </c>
      <c r="H34" s="110" t="s">
        <v>175</v>
      </c>
      <c r="I34" s="110" t="s">
        <v>734</v>
      </c>
      <c r="J34" s="110" t="s">
        <v>735</v>
      </c>
    </row>
    <row r="35" spans="4:10" ht="8.4" customHeight="1">
      <c r="D35" s="111"/>
      <c r="E35" s="111"/>
      <c r="F35" s="112" t="s">
        <v>63</v>
      </c>
      <c r="G35" s="112" t="s">
        <v>131</v>
      </c>
      <c r="H35" s="112" t="s">
        <v>130</v>
      </c>
      <c r="I35" s="112" t="s">
        <v>183</v>
      </c>
      <c r="J35" s="112" t="s">
        <v>216</v>
      </c>
    </row>
    <row r="36" spans="4:10">
      <c r="D36" s="111"/>
      <c r="E36" s="111"/>
      <c r="F36" s="112" t="s">
        <v>728</v>
      </c>
      <c r="G36" s="112" t="s">
        <v>729</v>
      </c>
      <c r="H36" s="112" t="s">
        <v>730</v>
      </c>
      <c r="I36" s="112" t="s">
        <v>731</v>
      </c>
      <c r="J36" s="112" t="s">
        <v>728</v>
      </c>
    </row>
    <row r="37" spans="4:10">
      <c r="D37" s="111"/>
      <c r="E37" s="111"/>
      <c r="F37" s="111"/>
      <c r="G37" s="111"/>
      <c r="H37" s="111"/>
      <c r="I37" s="111"/>
      <c r="J37" s="111"/>
    </row>
    <row r="38" spans="4:10">
      <c r="D38" s="113"/>
      <c r="E38" s="113"/>
      <c r="F38" s="113"/>
      <c r="G38" s="113"/>
      <c r="H38" s="113"/>
      <c r="I38" s="113"/>
      <c r="J38" s="113"/>
    </row>
    <row r="39" spans="4:10" ht="22.2" customHeight="1">
      <c r="D39" s="129">
        <f t="shared" ref="D39:E50" si="4">D11</f>
        <v>1</v>
      </c>
      <c r="E39" s="114" t="str">
        <f t="shared" ca="1" si="4"/>
        <v>Building from 1960, original | no insulation upgrade</v>
      </c>
      <c r="F39" s="128" t="str">
        <f t="shared" ref="F39:J46" ca="1" si="5">TEXT(F11,F$28)&amp;"
+/-"&amp;TEXT(K11,F$29)</f>
        <v>1,10
+/-0,33</v>
      </c>
      <c r="G39" s="128" t="str">
        <f t="shared" ca="1" si="5"/>
        <v>0,00
+/-0,00</v>
      </c>
      <c r="H39" s="128" t="str">
        <f t="shared" ca="1" si="5"/>
        <v>0
+/-0,0</v>
      </c>
      <c r="I39" s="128" t="str">
        <f t="shared" ca="1" si="5"/>
        <v>0,000
+/-0,000</v>
      </c>
      <c r="J39" s="128" t="str">
        <f t="shared" ca="1" si="5"/>
        <v>1,100
+/-0,330</v>
      </c>
    </row>
    <row r="40" spans="4:10" ht="22.2" customHeight="1">
      <c r="D40" s="129">
        <f t="shared" si="4"/>
        <v>2</v>
      </c>
      <c r="E40" s="114" t="str">
        <f t="shared" ca="1" si="4"/>
        <v>Building from 1980, original | no insulation upgrade</v>
      </c>
      <c r="F40" s="128" t="str">
        <f t="shared" ca="1" si="5"/>
        <v>0,60
+/-0,18</v>
      </c>
      <c r="G40" s="128" t="str">
        <f t="shared" ca="1" si="5"/>
        <v>0,00
+/-0,00</v>
      </c>
      <c r="H40" s="128" t="str">
        <f t="shared" ca="1" si="5"/>
        <v>0
+/-0,0</v>
      </c>
      <c r="I40" s="128" t="str">
        <f t="shared" ca="1" si="5"/>
        <v>0,000
+/-0,000</v>
      </c>
      <c r="J40" s="128" t="str">
        <f t="shared" ca="1" si="5"/>
        <v>0,600
+/-0,180</v>
      </c>
    </row>
    <row r="41" spans="4:10" ht="22.2" customHeight="1">
      <c r="D41" s="129">
        <f t="shared" si="4"/>
        <v>3</v>
      </c>
      <c r="E41" s="114" t="str">
        <f t="shared" ca="1" si="4"/>
        <v>Building from 2000, original | no insulation upgrade</v>
      </c>
      <c r="F41" s="128" t="str">
        <f t="shared" ca="1" si="5"/>
        <v>0,25
+/-0,05</v>
      </c>
      <c r="G41" s="128" t="str">
        <f t="shared" ca="1" si="5"/>
        <v>0,00
+/-0,00</v>
      </c>
      <c r="H41" s="128" t="str">
        <f t="shared" ca="1" si="5"/>
        <v>0
+/-0,0</v>
      </c>
      <c r="I41" s="128" t="str">
        <f t="shared" ca="1" si="5"/>
        <v>0,000
+/-0,000</v>
      </c>
      <c r="J41" s="128" t="str">
        <f t="shared" ca="1" si="5"/>
        <v>0,250
+/-0,050</v>
      </c>
    </row>
    <row r="42" spans="4:10" ht="22.2" customHeight="1">
      <c r="D42" s="129">
        <f t="shared" si="4"/>
        <v>4</v>
      </c>
      <c r="E42" s="114" t="str">
        <f t="shared" ca="1" si="4"/>
        <v>Building from 1960, insulation upgrade: d = 4 cm | f = 1.00 | Lambda = 0.045 | data from records</v>
      </c>
      <c r="F42" s="128" t="str">
        <f t="shared" ca="1" si="5"/>
        <v>1,10
+/-0,33</v>
      </c>
      <c r="G42" s="128" t="str">
        <f t="shared" ca="1" si="5"/>
        <v>1,00
+/-0,00</v>
      </c>
      <c r="H42" s="128" t="str">
        <f t="shared" ca="1" si="5"/>
        <v>4
+/-1,0</v>
      </c>
      <c r="I42" s="128" t="str">
        <f t="shared" ca="1" si="5"/>
        <v>0,045
+/-0,007</v>
      </c>
      <c r="J42" s="128" t="str">
        <f t="shared" ca="1" si="5"/>
        <v>0,556
+/-0,116</v>
      </c>
    </row>
    <row r="43" spans="4:10" ht="22.2" customHeight="1">
      <c r="D43" s="129">
        <f t="shared" si="4"/>
        <v>5</v>
      </c>
      <c r="E43" s="114" t="str">
        <f t="shared" ca="1" si="4"/>
        <v>Building from 1960, insulation upgrade: d = 16 cm | f = 1.00 | Lambda = 0.035 | data from records</v>
      </c>
      <c r="F43" s="128" t="str">
        <f t="shared" ca="1" si="5"/>
        <v>1,10
+/-0,33</v>
      </c>
      <c r="G43" s="128" t="str">
        <f t="shared" ca="1" si="5"/>
        <v>1,00
+/-0,00</v>
      </c>
      <c r="H43" s="128" t="str">
        <f t="shared" ca="1" si="5"/>
        <v>16
+/-2,0</v>
      </c>
      <c r="I43" s="128" t="str">
        <f t="shared" ca="1" si="5"/>
        <v>0,035
+/-0,005</v>
      </c>
      <c r="J43" s="128" t="str">
        <f t="shared" ca="1" si="5"/>
        <v>0,182
+/-0,031</v>
      </c>
    </row>
    <row r="44" spans="4:10" ht="22.2" customHeight="1">
      <c r="D44" s="129">
        <f t="shared" si="4"/>
        <v>6</v>
      </c>
      <c r="E44" s="114" t="str">
        <f t="shared" ca="1" si="4"/>
        <v>Building from 1960, insulation upgrade: d = 16 cm | f = 1.00 | Lambda = 0.035 | design data</v>
      </c>
      <c r="F44" s="128" t="str">
        <f t="shared" ca="1" si="5"/>
        <v>1,10
+/-0,33</v>
      </c>
      <c r="G44" s="128" t="str">
        <f t="shared" ca="1" si="5"/>
        <v>1,00
+/-0,00</v>
      </c>
      <c r="H44" s="128" t="str">
        <f t="shared" ca="1" si="5"/>
        <v>16
+/-1,0</v>
      </c>
      <c r="I44" s="128" t="str">
        <f t="shared" ca="1" si="5"/>
        <v>0,035
+/-0,004</v>
      </c>
      <c r="J44" s="128" t="str">
        <f t="shared" ca="1" si="5"/>
        <v>0,182
+/-0,020</v>
      </c>
    </row>
    <row r="45" spans="4:10" ht="22.2" customHeight="1">
      <c r="D45" s="129">
        <f t="shared" si="4"/>
        <v>7</v>
      </c>
      <c r="E45" s="114" t="str">
        <f t="shared" ca="1" si="4"/>
        <v>Building from 1960, insulation upgrade: d = 16 cm | f = 1.00 | Lambda = 0.035 | design data with quality assurance</v>
      </c>
      <c r="F45" s="128" t="str">
        <f t="shared" ca="1" si="5"/>
        <v>1,10
+/-0,33</v>
      </c>
      <c r="G45" s="128" t="str">
        <f t="shared" ca="1" si="5"/>
        <v>1,00
+/-0,00</v>
      </c>
      <c r="H45" s="128" t="str">
        <f t="shared" ca="1" si="5"/>
        <v>16
+/-0,5</v>
      </c>
      <c r="I45" s="128" t="str">
        <f t="shared" ca="1" si="5"/>
        <v>0,035
+/-0,002</v>
      </c>
      <c r="J45" s="128" t="str">
        <f t="shared" ca="1" si="5"/>
        <v>0,182
+/-0,013</v>
      </c>
    </row>
    <row r="46" spans="4:10" ht="22.2" customHeight="1">
      <c r="D46" s="129">
        <f t="shared" si="4"/>
        <v>8</v>
      </c>
      <c r="E46" s="114" t="str">
        <f t="shared" ca="1" si="4"/>
        <v>Building from 1960, insulation upgrade: d = 30 cm | f = 0.50 | Lambda = 0.035 | data from ex-post-elevation</v>
      </c>
      <c r="F46" s="128" t="str">
        <f t="shared" ca="1" si="5"/>
        <v>1,10
+/-0,33</v>
      </c>
      <c r="G46" s="128" t="str">
        <f t="shared" ca="1" si="5"/>
        <v>0,50
+/-0,20</v>
      </c>
      <c r="H46" s="128" t="str">
        <f t="shared" ca="1" si="5"/>
        <v>30
+/-2,0</v>
      </c>
      <c r="I46" s="128" t="str">
        <f t="shared" ca="1" si="5"/>
        <v>0,035
+/-0,005</v>
      </c>
      <c r="J46" s="128" t="str">
        <f t="shared" ca="1" si="5"/>
        <v>0,603
+/-0,260</v>
      </c>
    </row>
    <row r="47" spans="4:10" ht="22.2" customHeight="1">
      <c r="D47" s="129">
        <f t="shared" si="4"/>
        <v>9</v>
      </c>
      <c r="E47" s="114" t="str">
        <f t="shared" ca="1" si="4"/>
        <v>Building from 1960, insulation upgrade: d = 30 cm | f = 1.00 | Lambda = 0.035 | data from ex-post-elevation</v>
      </c>
      <c r="F47" s="128" t="str">
        <f t="shared" ref="F47:J47" ca="1" si="6">TEXT(F19,F$28)&amp;"
+/-"&amp;TEXT(K19,F$29)</f>
        <v>1,10
+/-0,33</v>
      </c>
      <c r="G47" s="128" t="str">
        <f t="shared" ca="1" si="6"/>
        <v>1,00
+/-0,00</v>
      </c>
      <c r="H47" s="128" t="str">
        <f t="shared" ca="1" si="6"/>
        <v>30
+/-2,0</v>
      </c>
      <c r="I47" s="128" t="str">
        <f t="shared" ca="1" si="6"/>
        <v>0,035
+/-0,005</v>
      </c>
      <c r="J47" s="128" t="str">
        <f t="shared" ca="1" si="6"/>
        <v>0,105
+/-0,016</v>
      </c>
    </row>
    <row r="48" spans="4:10" ht="22.2" customHeight="1">
      <c r="D48" s="129">
        <f t="shared" si="4"/>
        <v>10</v>
      </c>
      <c r="E48" s="114" t="str">
        <f t="shared" ca="1" si="4"/>
        <v>Building from 1960, no information if insulation upgrade has been performed [values used for f and d: average of all buildings*]</v>
      </c>
      <c r="F48" s="128" t="str">
        <f t="shared" ref="F48:J48" ca="1" si="7">TEXT(F20,F$28)&amp;"
+/-"&amp;TEXT(K20,F$29)</f>
        <v>1,10
+/-0,33</v>
      </c>
      <c r="G48" s="128" t="str">
        <f t="shared" ca="1" si="7"/>
        <v>0,62
+/-0,38</v>
      </c>
      <c r="H48" s="128" t="str">
        <f t="shared" ca="1" si="7"/>
        <v>12
+/-6,0</v>
      </c>
      <c r="I48" s="128" t="str">
        <f t="shared" ca="1" si="7"/>
        <v>0,040
+/-0,012</v>
      </c>
      <c r="J48" s="128" t="str">
        <f t="shared" ca="1" si="7"/>
        <v>0,577
+/-0,356</v>
      </c>
    </row>
    <row r="49" spans="4:10" ht="22.2" customHeight="1">
      <c r="D49" s="129">
        <f t="shared" si="4"/>
        <v>11</v>
      </c>
      <c r="E49" s="114" t="str">
        <f t="shared" ca="1" si="4"/>
        <v>Building from 1960, insulation upgrade in 1990; no information about d and f [values used: average of refurbished buildings*]</v>
      </c>
      <c r="F49" s="128" t="str">
        <f t="shared" ref="F49:J49" ca="1" si="8">TEXT(F21,F$28)&amp;"
+/-"&amp;TEXT(K21,F$29)</f>
        <v>1,10
+/-0,33</v>
      </c>
      <c r="G49" s="128" t="str">
        <f t="shared" ca="1" si="8"/>
        <v>0,90
+/-0,10</v>
      </c>
      <c r="H49" s="128" t="str">
        <f t="shared" ca="1" si="8"/>
        <v>9
+/-3,6</v>
      </c>
      <c r="I49" s="128" t="str">
        <f t="shared" ca="1" si="8"/>
        <v>0,040
+/-0,008</v>
      </c>
      <c r="J49" s="128" t="str">
        <f t="shared" ca="1" si="8"/>
        <v>0,395
+/-0,133</v>
      </c>
    </row>
    <row r="50" spans="4:10" ht="22.2" customHeight="1">
      <c r="D50" s="129">
        <f t="shared" si="4"/>
        <v>12</v>
      </c>
      <c r="E50" s="114" t="str">
        <f t="shared" ca="1" si="4"/>
        <v>Building from 1960, insul. upgr. in 2017 | no information about d and f [values used: average of refurbished buildings*]</v>
      </c>
      <c r="F50" s="128" t="str">
        <f t="shared" ref="F50:J50" ca="1" si="9">TEXT(F22,F$28)&amp;"
+/-"&amp;TEXT(K22,F$29)</f>
        <v>1,10
+/-0,33</v>
      </c>
      <c r="G50" s="128" t="str">
        <f t="shared" ca="1" si="9"/>
        <v>0,90
+/-0,10</v>
      </c>
      <c r="H50" s="128" t="str">
        <f t="shared" ca="1" si="9"/>
        <v>15
+/-5,0</v>
      </c>
      <c r="I50" s="128" t="str">
        <f t="shared" ca="1" si="9"/>
        <v>0,035
+/-0,007</v>
      </c>
      <c r="J50" s="128" t="str">
        <f t="shared" ca="1" si="9"/>
        <v>0,283
+/-0,114</v>
      </c>
    </row>
    <row r="51" spans="4:10">
      <c r="D51" s="280" t="s">
        <v>1020</v>
      </c>
      <c r="E51" s="281"/>
      <c r="F51" s="281"/>
      <c r="G51" s="281"/>
      <c r="H51" s="281"/>
      <c r="I51" s="281"/>
      <c r="J51" s="130">
        <f ca="1">DateTime_Current</f>
        <v>44330.603352893515</v>
      </c>
    </row>
  </sheetData>
  <mergeCells count="1">
    <mergeCell ref="D51:I51"/>
  </mergeCells>
  <pageMargins left="0.7" right="0.7" top="0.78740157499999996" bottom="0.78740157499999996"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ECCBDC-4EB5-4C9E-9AE9-FE5A02FF3274}">
          <x14:formula1>
            <xm:f>OFFSET('Calc.U.Uncertainty'!$A$1,n_Row_Header,0,n_Row_Source_Reference,1)</xm:f>
          </x14:formula1>
          <xm:sqref>A11:B22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3EB2-C74E-4DC0-803D-DD8F99ABB02B}">
  <sheetPr>
    <pageSetUpPr fitToPage="1"/>
  </sheetPr>
  <dimension ref="A1:BI359"/>
  <sheetViews>
    <sheetView showGridLines="0" topLeftCell="A213" zoomScale="110" zoomScaleNormal="110" workbookViewId="0">
      <selection activeCell="A213" sqref="A213"/>
    </sheetView>
  </sheetViews>
  <sheetFormatPr baseColWidth="10" defaultRowHeight="15" outlineLevelRow="1"/>
  <cols>
    <col min="1" max="39" width="3.85546875" style="240" customWidth="1"/>
    <col min="40" max="55" width="3.85546875" style="255" customWidth="1"/>
    <col min="56" max="57" width="33.28515625" style="255" customWidth="1"/>
    <col min="58" max="58" width="3.7109375" style="255" customWidth="1"/>
    <col min="59" max="61" width="7.28515625" style="255" customWidth="1"/>
  </cols>
  <sheetData>
    <row r="1" spans="1:59" s="242" customFormat="1" ht="10.199999999999999" hidden="1" outlineLevel="1">
      <c r="A1" s="237"/>
      <c r="B1" s="237"/>
      <c r="C1" s="237"/>
      <c r="D1" s="237"/>
      <c r="E1" s="237"/>
      <c r="F1" s="237"/>
      <c r="G1" s="237"/>
      <c r="H1" s="237"/>
      <c r="I1" s="237"/>
      <c r="J1" s="237"/>
      <c r="K1" s="237"/>
      <c r="M1" s="237"/>
      <c r="N1" s="237"/>
      <c r="O1" s="237"/>
      <c r="P1" s="237"/>
      <c r="Q1" s="237"/>
      <c r="R1" s="237"/>
      <c r="S1" s="237"/>
      <c r="T1" s="237"/>
      <c r="U1" s="237"/>
      <c r="V1" s="237"/>
      <c r="W1" s="237"/>
      <c r="X1" s="237"/>
      <c r="Y1" s="237"/>
      <c r="Z1" s="237"/>
      <c r="AA1" s="237"/>
      <c r="AB1" s="237"/>
      <c r="AC1" s="237"/>
      <c r="AD1" s="237"/>
      <c r="AE1" s="237"/>
      <c r="BC1" s="250"/>
      <c r="BD1" s="250"/>
      <c r="BE1" s="250"/>
      <c r="BF1" s="250"/>
      <c r="BG1" s="250"/>
    </row>
    <row r="2" spans="1:59" s="242" customFormat="1" ht="13.2" hidden="1" outlineLevel="1">
      <c r="A2" s="237"/>
      <c r="B2" s="243" t="s">
        <v>2409</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50"/>
      <c r="BD2" s="250"/>
      <c r="BE2" s="250"/>
      <c r="BF2" s="250"/>
      <c r="BG2" s="250"/>
    </row>
    <row r="3" spans="1:59" s="242" customFormat="1" ht="10.199999999999999" hidden="1" outlineLevel="1">
      <c r="A3" s="237"/>
      <c r="B3" s="237"/>
      <c r="C3" s="237"/>
      <c r="D3" s="237"/>
      <c r="E3" s="237"/>
      <c r="F3" s="237"/>
      <c r="G3" s="237"/>
      <c r="H3" s="237"/>
      <c r="I3" s="237"/>
      <c r="J3" s="237"/>
      <c r="K3" s="237"/>
      <c r="M3" s="237"/>
      <c r="N3" s="237"/>
      <c r="O3" s="237"/>
      <c r="P3" s="237"/>
      <c r="Q3" s="237"/>
      <c r="R3" s="237"/>
      <c r="S3" s="237"/>
      <c r="T3" s="237"/>
      <c r="U3" s="237"/>
      <c r="V3" s="237"/>
      <c r="W3" s="237"/>
      <c r="X3" s="237"/>
      <c r="Y3" s="237"/>
      <c r="Z3" s="237"/>
      <c r="AA3" s="237"/>
      <c r="AB3" s="237"/>
      <c r="AC3" s="237"/>
      <c r="AD3" s="237"/>
      <c r="AE3" s="237"/>
      <c r="BC3" s="250"/>
      <c r="BD3" s="250"/>
      <c r="BE3" s="250"/>
      <c r="BF3" s="250"/>
      <c r="BG3" s="250"/>
    </row>
    <row r="4" spans="1:59" s="242" customFormat="1" ht="10.199999999999999" hidden="1" outlineLevel="1">
      <c r="A4" s="237"/>
      <c r="B4" s="237"/>
      <c r="C4" s="237"/>
      <c r="D4" s="237"/>
      <c r="E4" s="237"/>
      <c r="F4" s="237"/>
      <c r="G4" s="237"/>
      <c r="H4" s="237"/>
      <c r="I4" s="237"/>
      <c r="J4" s="237"/>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BC4" s="250"/>
      <c r="BD4" s="250"/>
      <c r="BE4" s="250"/>
      <c r="BF4" s="250"/>
      <c r="BG4" s="250"/>
    </row>
    <row r="5" spans="1:59" s="242" customFormat="1" ht="10.199999999999999" hidden="1" outlineLevel="1">
      <c r="A5" s="237"/>
      <c r="B5" s="237"/>
      <c r="C5" s="237"/>
      <c r="D5" s="237"/>
      <c r="E5" s="237"/>
      <c r="F5" s="237"/>
      <c r="G5" s="237"/>
      <c r="H5" s="237"/>
      <c r="I5" s="237"/>
      <c r="J5" s="237"/>
      <c r="L5" s="246"/>
      <c r="M5" s="245"/>
      <c r="N5" s="245"/>
      <c r="O5" s="245"/>
      <c r="P5" s="245"/>
      <c r="Q5" s="245"/>
      <c r="R5" s="245"/>
      <c r="S5" s="245"/>
      <c r="T5" s="245"/>
      <c r="U5" s="245"/>
      <c r="V5" s="245"/>
      <c r="W5" s="245"/>
      <c r="X5" s="246" t="s">
        <v>2410</v>
      </c>
      <c r="Y5" s="245"/>
      <c r="Z5" s="245"/>
      <c r="AA5" s="245"/>
      <c r="AB5" s="245"/>
      <c r="AC5" s="245"/>
      <c r="AD5" s="245"/>
      <c r="AE5" s="245"/>
      <c r="AF5" s="245"/>
      <c r="AG5" s="245"/>
      <c r="AH5" s="245"/>
      <c r="AI5" s="245"/>
      <c r="AJ5" s="245"/>
      <c r="AK5" s="245"/>
      <c r="AL5" s="245"/>
      <c r="AM5" s="245"/>
      <c r="AN5" s="245"/>
      <c r="AO5" s="245"/>
      <c r="AP5" s="285" t="s">
        <v>704</v>
      </c>
      <c r="AQ5" s="286"/>
      <c r="AR5" s="286"/>
      <c r="AS5" s="286"/>
      <c r="AT5" s="287"/>
      <c r="AU5" s="245"/>
      <c r="BC5" s="250"/>
      <c r="BD5" s="250"/>
      <c r="BE5" s="250"/>
      <c r="BF5" s="250"/>
      <c r="BG5" s="250"/>
    </row>
    <row r="6" spans="1:59" s="242" customFormat="1" ht="10.199999999999999" hidden="1" outlineLevel="1">
      <c r="A6" s="237"/>
      <c r="B6" s="237"/>
      <c r="C6" s="237"/>
      <c r="D6" s="237"/>
      <c r="E6" s="237"/>
      <c r="F6" s="237"/>
      <c r="G6" s="237"/>
      <c r="H6" s="237"/>
      <c r="I6" s="237"/>
      <c r="J6" s="237"/>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85" t="str">
        <f>IFERROR(INDEX(BD6:BE6,1,#REF!),"")</f>
        <v/>
      </c>
      <c r="AQ6" s="286"/>
      <c r="AR6" s="286"/>
      <c r="AS6" s="286"/>
      <c r="AT6" s="287"/>
      <c r="AU6" s="245"/>
      <c r="BC6" s="250"/>
      <c r="BD6" s="250"/>
      <c r="BE6" s="250"/>
      <c r="BF6" s="250"/>
      <c r="BG6" s="250"/>
    </row>
    <row r="7" spans="1:59" s="242" customFormat="1" ht="10.199999999999999" hidden="1" outlineLevel="1">
      <c r="A7" s="237"/>
      <c r="B7" s="237"/>
      <c r="C7" s="244"/>
      <c r="D7" s="237"/>
      <c r="E7" s="237"/>
      <c r="F7" s="237"/>
      <c r="G7" s="237"/>
      <c r="H7" s="237"/>
      <c r="I7" s="237"/>
      <c r="J7" s="237"/>
      <c r="L7" s="247"/>
      <c r="M7" s="248"/>
      <c r="N7" s="248"/>
      <c r="O7" s="248"/>
      <c r="P7" s="248"/>
      <c r="Q7" s="248"/>
      <c r="R7" s="248"/>
      <c r="S7" s="248"/>
      <c r="T7" s="248"/>
      <c r="U7" s="248"/>
      <c r="V7" s="248"/>
      <c r="W7" s="248"/>
      <c r="X7" s="247"/>
      <c r="Y7" s="248"/>
      <c r="Z7" s="248"/>
      <c r="AA7" s="248"/>
      <c r="AB7" s="248"/>
      <c r="AC7" s="248"/>
      <c r="AD7" s="248"/>
      <c r="AE7" s="248"/>
      <c r="AF7" s="248"/>
      <c r="AG7" s="248"/>
      <c r="AH7" s="248"/>
      <c r="AI7" s="248"/>
      <c r="AJ7" s="248"/>
      <c r="AK7" s="248"/>
      <c r="AL7" s="248"/>
      <c r="AM7" s="248"/>
      <c r="AN7" s="248"/>
      <c r="AO7" s="248"/>
      <c r="AP7" s="282" t="str">
        <f>IFERROR(INDEX(BD7:BE7,1,#REF!),"")</f>
        <v/>
      </c>
      <c r="AQ7" s="283"/>
      <c r="AR7" s="283"/>
      <c r="AS7" s="283"/>
      <c r="AT7" s="284"/>
      <c r="AU7" s="249"/>
      <c r="BC7" s="250"/>
      <c r="BD7" s="250"/>
      <c r="BE7" s="250"/>
      <c r="BF7" s="250"/>
      <c r="BG7" s="250"/>
    </row>
    <row r="8" spans="1:59" s="250" customFormat="1" ht="10.199999999999999" hidden="1" outlineLevel="1">
      <c r="A8" s="238"/>
      <c r="B8" s="238"/>
      <c r="D8" s="238"/>
      <c r="E8" s="238"/>
      <c r="F8" s="238"/>
      <c r="G8" s="238"/>
      <c r="H8" s="238"/>
      <c r="I8" s="238"/>
      <c r="J8" s="238"/>
      <c r="K8" s="238"/>
      <c r="L8" s="251"/>
      <c r="M8" s="303" t="str">
        <f>'Calc.Charts'!A11</f>
        <v>C.A.001</v>
      </c>
      <c r="N8" s="304"/>
      <c r="O8" s="304"/>
      <c r="P8" s="304"/>
      <c r="Q8" s="304"/>
      <c r="R8" s="304"/>
      <c r="S8" s="304"/>
      <c r="T8" s="305"/>
      <c r="U8" s="289">
        <f>MATCH(M8,'Calc.U.Uncertainty'!$A:$A,0)</f>
        <v>265</v>
      </c>
      <c r="V8" s="248"/>
      <c r="W8" s="248"/>
      <c r="X8" s="288" t="s">
        <v>546</v>
      </c>
      <c r="Y8" s="248"/>
      <c r="Z8" s="248"/>
      <c r="AA8" s="248"/>
      <c r="AB8" s="248"/>
      <c r="AC8" s="248"/>
      <c r="AD8" s="248"/>
      <c r="AE8" s="248"/>
      <c r="AF8" s="248"/>
      <c r="AG8" s="248"/>
      <c r="AH8" s="248"/>
      <c r="AI8" s="248"/>
      <c r="AJ8" s="248"/>
      <c r="AK8" s="248"/>
      <c r="AL8" s="248"/>
      <c r="AM8" s="248"/>
      <c r="AN8" s="289">
        <f>MATCH(X8,'Calc.U.Uncertainty'!$1:$1,0)</f>
        <v>1</v>
      </c>
      <c r="AO8" s="248"/>
      <c r="AP8" s="290" t="str">
        <f ca="1">OFFSET('Calc.U.Uncertainty'!$A$1,U8-1,AN8-1)</f>
        <v>C.A.001</v>
      </c>
      <c r="AQ8" s="291"/>
      <c r="AR8" s="291"/>
      <c r="AS8" s="291"/>
      <c r="AT8" s="292"/>
      <c r="AU8" s="249"/>
    </row>
    <row r="9" spans="1:59" s="250" customFormat="1" ht="10.199999999999999" hidden="1" outlineLevel="1">
      <c r="A9" s="238"/>
      <c r="B9" s="238"/>
      <c r="D9" s="238"/>
      <c r="E9" s="238"/>
      <c r="F9" s="238"/>
      <c r="G9" s="238"/>
      <c r="H9" s="238"/>
      <c r="I9" s="238"/>
      <c r="J9" s="238"/>
      <c r="K9" s="238"/>
      <c r="L9" s="251"/>
      <c r="M9" s="303" t="str">
        <f>'Calc.Charts'!A12</f>
        <v>C.A.002</v>
      </c>
      <c r="N9" s="304"/>
      <c r="O9" s="304"/>
      <c r="P9" s="304"/>
      <c r="Q9" s="304"/>
      <c r="R9" s="304"/>
      <c r="S9" s="304"/>
      <c r="T9" s="305"/>
      <c r="U9" s="289">
        <f>MATCH(M9,'Calc.U.Uncertainty'!$A:$A,0)</f>
        <v>266</v>
      </c>
      <c r="V9" s="248"/>
      <c r="W9" s="248"/>
      <c r="X9" s="295" t="s">
        <v>546</v>
      </c>
      <c r="Y9" s="248"/>
      <c r="Z9" s="248"/>
      <c r="AA9" s="248"/>
      <c r="AB9" s="248"/>
      <c r="AC9" s="248"/>
      <c r="AD9" s="248"/>
      <c r="AE9" s="248"/>
      <c r="AF9" s="248"/>
      <c r="AG9" s="248"/>
      <c r="AH9" s="248"/>
      <c r="AI9" s="248"/>
      <c r="AJ9" s="248"/>
      <c r="AK9" s="248"/>
      <c r="AL9" s="248"/>
      <c r="AM9" s="248"/>
      <c r="AN9" s="293">
        <f t="shared" ref="AN9:AN19" si="0">AN8</f>
        <v>1</v>
      </c>
      <c r="AO9" s="248"/>
      <c r="AP9" s="290" t="str">
        <f ca="1">OFFSET('Calc.U.Uncertainty'!$A$1,U9-1,AN9-1)</f>
        <v>C.A.002</v>
      </c>
      <c r="AQ9" s="291"/>
      <c r="AR9" s="291"/>
      <c r="AS9" s="291"/>
      <c r="AT9" s="292"/>
      <c r="AU9" s="249"/>
    </row>
    <row r="10" spans="1:59" s="250" customFormat="1" ht="10.199999999999999" hidden="1" outlineLevel="1">
      <c r="A10" s="238"/>
      <c r="B10" s="238"/>
      <c r="D10" s="238"/>
      <c r="E10" s="238"/>
      <c r="F10" s="238"/>
      <c r="G10" s="238"/>
      <c r="H10" s="238"/>
      <c r="I10" s="238"/>
      <c r="J10" s="238"/>
      <c r="K10" s="238"/>
      <c r="L10" s="251"/>
      <c r="M10" s="303" t="str">
        <f>'Calc.Charts'!A13</f>
        <v>C.A.003</v>
      </c>
      <c r="N10" s="304"/>
      <c r="O10" s="304"/>
      <c r="P10" s="304"/>
      <c r="Q10" s="304"/>
      <c r="R10" s="304"/>
      <c r="S10" s="304"/>
      <c r="T10" s="305"/>
      <c r="U10" s="289">
        <f>MATCH(M10,'Calc.U.Uncertainty'!$A:$A,0)</f>
        <v>267</v>
      </c>
      <c r="V10" s="248"/>
      <c r="W10" s="248"/>
      <c r="X10" s="295" t="s">
        <v>546</v>
      </c>
      <c r="Y10" s="248"/>
      <c r="Z10" s="248"/>
      <c r="AA10" s="248"/>
      <c r="AB10" s="248"/>
      <c r="AC10" s="248"/>
      <c r="AD10" s="248"/>
      <c r="AE10" s="248"/>
      <c r="AF10" s="248"/>
      <c r="AG10" s="248"/>
      <c r="AH10" s="248"/>
      <c r="AI10" s="248"/>
      <c r="AJ10" s="248"/>
      <c r="AK10" s="248"/>
      <c r="AL10" s="248"/>
      <c r="AM10" s="248"/>
      <c r="AN10" s="293">
        <f t="shared" si="0"/>
        <v>1</v>
      </c>
      <c r="AO10" s="248"/>
      <c r="AP10" s="290" t="str">
        <f ca="1">OFFSET('Calc.U.Uncertainty'!$A$1,U10-1,AN10-1)</f>
        <v>C.A.003</v>
      </c>
      <c r="AQ10" s="291"/>
      <c r="AR10" s="291"/>
      <c r="AS10" s="291"/>
      <c r="AT10" s="292"/>
      <c r="AU10" s="249"/>
    </row>
    <row r="11" spans="1:59" s="250" customFormat="1" ht="10.199999999999999" hidden="1" outlineLevel="1">
      <c r="A11" s="238"/>
      <c r="B11" s="238"/>
      <c r="D11" s="238"/>
      <c r="E11" s="238"/>
      <c r="F11" s="238"/>
      <c r="G11" s="238"/>
      <c r="H11" s="238"/>
      <c r="I11" s="238"/>
      <c r="J11" s="238"/>
      <c r="K11" s="238"/>
      <c r="L11" s="251"/>
      <c r="M11" s="303" t="str">
        <f>'Calc.Charts'!A14</f>
        <v>C.A.004</v>
      </c>
      <c r="N11" s="304"/>
      <c r="O11" s="304"/>
      <c r="P11" s="304"/>
      <c r="Q11" s="304"/>
      <c r="R11" s="304"/>
      <c r="S11" s="304"/>
      <c r="T11" s="305"/>
      <c r="U11" s="289">
        <f>MATCH(M11,'Calc.U.Uncertainty'!$A:$A,0)</f>
        <v>268</v>
      </c>
      <c r="V11" s="248"/>
      <c r="W11" s="248"/>
      <c r="X11" s="295" t="s">
        <v>546</v>
      </c>
      <c r="Y11" s="248"/>
      <c r="Z11" s="248"/>
      <c r="AA11" s="248"/>
      <c r="AB11" s="248"/>
      <c r="AC11" s="248"/>
      <c r="AD11" s="248"/>
      <c r="AE11" s="248"/>
      <c r="AF11" s="248"/>
      <c r="AG11" s="248"/>
      <c r="AH11" s="248"/>
      <c r="AI11" s="248"/>
      <c r="AJ11" s="248"/>
      <c r="AK11" s="248"/>
      <c r="AL11" s="248"/>
      <c r="AM11" s="248"/>
      <c r="AN11" s="293">
        <f t="shared" si="0"/>
        <v>1</v>
      </c>
      <c r="AO11" s="248"/>
      <c r="AP11" s="290" t="str">
        <f ca="1">OFFSET('Calc.U.Uncertainty'!$A$1,U11-1,AN11-1)</f>
        <v>C.A.004</v>
      </c>
      <c r="AQ11" s="291"/>
      <c r="AR11" s="291"/>
      <c r="AS11" s="291"/>
      <c r="AT11" s="292"/>
      <c r="AU11" s="249"/>
    </row>
    <row r="12" spans="1:59" s="250" customFormat="1" ht="10.199999999999999" hidden="1" outlineLevel="1">
      <c r="A12" s="238"/>
      <c r="B12" s="238"/>
      <c r="D12" s="238"/>
      <c r="E12" s="238"/>
      <c r="F12" s="238"/>
      <c r="G12" s="238"/>
      <c r="H12" s="238"/>
      <c r="I12" s="238"/>
      <c r="J12" s="238"/>
      <c r="K12" s="238"/>
      <c r="L12" s="251"/>
      <c r="M12" s="303" t="str">
        <f>'Calc.Charts'!A15</f>
        <v>C.A.005</v>
      </c>
      <c r="N12" s="304"/>
      <c r="O12" s="304"/>
      <c r="P12" s="304"/>
      <c r="Q12" s="304"/>
      <c r="R12" s="304"/>
      <c r="S12" s="304"/>
      <c r="T12" s="305"/>
      <c r="U12" s="289">
        <f>MATCH(M12,'Calc.U.Uncertainty'!$A:$A,0)</f>
        <v>269</v>
      </c>
      <c r="V12" s="248"/>
      <c r="W12" s="248"/>
      <c r="X12" s="295" t="s">
        <v>546</v>
      </c>
      <c r="Y12" s="248"/>
      <c r="Z12" s="248"/>
      <c r="AA12" s="248"/>
      <c r="AB12" s="248"/>
      <c r="AC12" s="248"/>
      <c r="AD12" s="248"/>
      <c r="AE12" s="248"/>
      <c r="AF12" s="248"/>
      <c r="AG12" s="248"/>
      <c r="AH12" s="248"/>
      <c r="AI12" s="248"/>
      <c r="AJ12" s="248"/>
      <c r="AK12" s="248"/>
      <c r="AL12" s="248"/>
      <c r="AM12" s="248"/>
      <c r="AN12" s="293">
        <f t="shared" si="0"/>
        <v>1</v>
      </c>
      <c r="AO12" s="248"/>
      <c r="AP12" s="290" t="str">
        <f ca="1">OFFSET('Calc.U.Uncertainty'!$A$1,U12-1,AN12-1)</f>
        <v>C.A.005</v>
      </c>
      <c r="AQ12" s="291"/>
      <c r="AR12" s="291"/>
      <c r="AS12" s="291"/>
      <c r="AT12" s="292"/>
      <c r="AU12" s="249"/>
    </row>
    <row r="13" spans="1:59" s="250" customFormat="1" ht="10.199999999999999" hidden="1" outlineLevel="1">
      <c r="A13" s="238"/>
      <c r="B13" s="238"/>
      <c r="D13" s="238"/>
      <c r="E13" s="238"/>
      <c r="F13" s="238"/>
      <c r="G13" s="238"/>
      <c r="H13" s="238"/>
      <c r="I13" s="238"/>
      <c r="J13" s="238"/>
      <c r="K13" s="238"/>
      <c r="L13" s="251"/>
      <c r="M13" s="303" t="str">
        <f>'Calc.Charts'!A16</f>
        <v>C.A.006</v>
      </c>
      <c r="N13" s="304"/>
      <c r="O13" s="304"/>
      <c r="P13" s="304"/>
      <c r="Q13" s="304"/>
      <c r="R13" s="304"/>
      <c r="S13" s="304"/>
      <c r="T13" s="305"/>
      <c r="U13" s="289">
        <f>MATCH(M13,'Calc.U.Uncertainty'!$A:$A,0)</f>
        <v>270</v>
      </c>
      <c r="V13" s="248"/>
      <c r="W13" s="248"/>
      <c r="X13" s="295" t="s">
        <v>546</v>
      </c>
      <c r="Y13" s="248"/>
      <c r="Z13" s="248"/>
      <c r="AA13" s="248"/>
      <c r="AB13" s="248"/>
      <c r="AC13" s="248"/>
      <c r="AD13" s="248"/>
      <c r="AE13" s="248"/>
      <c r="AF13" s="248"/>
      <c r="AG13" s="248"/>
      <c r="AH13" s="248"/>
      <c r="AI13" s="248"/>
      <c r="AJ13" s="248"/>
      <c r="AK13" s="248"/>
      <c r="AL13" s="248"/>
      <c r="AM13" s="248"/>
      <c r="AN13" s="293">
        <f t="shared" si="0"/>
        <v>1</v>
      </c>
      <c r="AO13" s="248"/>
      <c r="AP13" s="290" t="str">
        <f ca="1">OFFSET('Calc.U.Uncertainty'!$A$1,U13-1,AN13-1)</f>
        <v>C.A.006</v>
      </c>
      <c r="AQ13" s="291"/>
      <c r="AR13" s="291"/>
      <c r="AS13" s="291"/>
      <c r="AT13" s="292"/>
      <c r="AU13" s="249"/>
    </row>
    <row r="14" spans="1:59" s="250" customFormat="1" ht="10.199999999999999" hidden="1" outlineLevel="1">
      <c r="A14" s="238"/>
      <c r="B14" s="238"/>
      <c r="D14" s="238"/>
      <c r="E14" s="238"/>
      <c r="F14" s="238"/>
      <c r="G14" s="238"/>
      <c r="H14" s="238"/>
      <c r="I14" s="238"/>
      <c r="J14" s="238"/>
      <c r="K14" s="238"/>
      <c r="L14" s="251"/>
      <c r="M14" s="303" t="str">
        <f>'Calc.Charts'!A17</f>
        <v>C.A.007</v>
      </c>
      <c r="N14" s="304"/>
      <c r="O14" s="304"/>
      <c r="P14" s="304"/>
      <c r="Q14" s="304"/>
      <c r="R14" s="304"/>
      <c r="S14" s="304"/>
      <c r="T14" s="305"/>
      <c r="U14" s="289">
        <f>MATCH(M14,'Calc.U.Uncertainty'!$A:$A,0)</f>
        <v>271</v>
      </c>
      <c r="V14" s="248"/>
      <c r="W14" s="248"/>
      <c r="X14" s="295" t="s">
        <v>546</v>
      </c>
      <c r="Y14" s="248"/>
      <c r="Z14" s="248"/>
      <c r="AA14" s="248"/>
      <c r="AB14" s="248"/>
      <c r="AC14" s="248"/>
      <c r="AD14" s="248"/>
      <c r="AE14" s="248"/>
      <c r="AF14" s="248"/>
      <c r="AG14" s="248"/>
      <c r="AH14" s="248"/>
      <c r="AI14" s="248"/>
      <c r="AJ14" s="248"/>
      <c r="AK14" s="248"/>
      <c r="AL14" s="248"/>
      <c r="AM14" s="248"/>
      <c r="AN14" s="293">
        <f t="shared" si="0"/>
        <v>1</v>
      </c>
      <c r="AO14" s="248"/>
      <c r="AP14" s="290" t="str">
        <f ca="1">OFFSET('Calc.U.Uncertainty'!$A$1,U14-1,AN14-1)</f>
        <v>C.A.007</v>
      </c>
      <c r="AQ14" s="291"/>
      <c r="AR14" s="291"/>
      <c r="AS14" s="291"/>
      <c r="AT14" s="292"/>
      <c r="AU14" s="249"/>
    </row>
    <row r="15" spans="1:59" s="250" customFormat="1" ht="10.199999999999999" hidden="1" outlineLevel="1">
      <c r="A15" s="238"/>
      <c r="B15" s="238"/>
      <c r="D15" s="238"/>
      <c r="E15" s="238"/>
      <c r="F15" s="238"/>
      <c r="G15" s="238"/>
      <c r="H15" s="238"/>
      <c r="I15" s="238"/>
      <c r="J15" s="238"/>
      <c r="K15" s="238"/>
      <c r="L15" s="251"/>
      <c r="M15" s="303" t="str">
        <f>'Calc.Charts'!A18</f>
        <v>C.A.008</v>
      </c>
      <c r="N15" s="304"/>
      <c r="O15" s="304"/>
      <c r="P15" s="304"/>
      <c r="Q15" s="304"/>
      <c r="R15" s="304"/>
      <c r="S15" s="304"/>
      <c r="T15" s="305"/>
      <c r="U15" s="289">
        <f>MATCH(M15,'Calc.U.Uncertainty'!$A:$A,0)</f>
        <v>272</v>
      </c>
      <c r="V15" s="248"/>
      <c r="W15" s="248"/>
      <c r="X15" s="295" t="s">
        <v>546</v>
      </c>
      <c r="Y15" s="248"/>
      <c r="Z15" s="248"/>
      <c r="AA15" s="248"/>
      <c r="AB15" s="248"/>
      <c r="AC15" s="248"/>
      <c r="AD15" s="248"/>
      <c r="AE15" s="248"/>
      <c r="AF15" s="248"/>
      <c r="AG15" s="248"/>
      <c r="AH15" s="248"/>
      <c r="AI15" s="248"/>
      <c r="AJ15" s="248"/>
      <c r="AK15" s="248"/>
      <c r="AL15" s="248"/>
      <c r="AM15" s="248"/>
      <c r="AN15" s="293">
        <f t="shared" si="0"/>
        <v>1</v>
      </c>
      <c r="AO15" s="248"/>
      <c r="AP15" s="290" t="str">
        <f ca="1">OFFSET('Calc.U.Uncertainty'!$A$1,U15-1,AN15-1)</f>
        <v>C.A.008</v>
      </c>
      <c r="AQ15" s="291"/>
      <c r="AR15" s="291"/>
      <c r="AS15" s="291"/>
      <c r="AT15" s="292"/>
      <c r="AU15" s="249"/>
    </row>
    <row r="16" spans="1:59" s="250" customFormat="1" ht="10.199999999999999" hidden="1" outlineLevel="1">
      <c r="A16" s="238"/>
      <c r="B16" s="238"/>
      <c r="D16" s="238"/>
      <c r="E16" s="238"/>
      <c r="F16" s="238"/>
      <c r="G16" s="238"/>
      <c r="H16" s="238"/>
      <c r="I16" s="238"/>
      <c r="J16" s="238"/>
      <c r="K16" s="238"/>
      <c r="L16" s="251"/>
      <c r="M16" s="303" t="str">
        <f>'Calc.Charts'!A19</f>
        <v>C.A.009</v>
      </c>
      <c r="N16" s="304"/>
      <c r="O16" s="304"/>
      <c r="P16" s="304"/>
      <c r="Q16" s="304"/>
      <c r="R16" s="304"/>
      <c r="S16" s="304"/>
      <c r="T16" s="305"/>
      <c r="U16" s="289">
        <f>MATCH(M16,'Calc.U.Uncertainty'!$A:$A,0)</f>
        <v>273</v>
      </c>
      <c r="V16" s="248"/>
      <c r="W16" s="248"/>
      <c r="X16" s="295" t="s">
        <v>546</v>
      </c>
      <c r="Y16" s="248"/>
      <c r="Z16" s="248"/>
      <c r="AA16" s="248"/>
      <c r="AB16" s="248"/>
      <c r="AC16" s="248"/>
      <c r="AD16" s="248"/>
      <c r="AE16" s="248"/>
      <c r="AF16" s="248"/>
      <c r="AG16" s="248"/>
      <c r="AH16" s="248"/>
      <c r="AI16" s="248"/>
      <c r="AJ16" s="248"/>
      <c r="AK16" s="248"/>
      <c r="AL16" s="248"/>
      <c r="AM16" s="248"/>
      <c r="AN16" s="293">
        <f t="shared" si="0"/>
        <v>1</v>
      </c>
      <c r="AO16" s="248"/>
      <c r="AP16" s="290" t="str">
        <f ca="1">OFFSET('Calc.U.Uncertainty'!$A$1,U16-1,AN16-1)</f>
        <v>C.A.009</v>
      </c>
      <c r="AQ16" s="291"/>
      <c r="AR16" s="291"/>
      <c r="AS16" s="291"/>
      <c r="AT16" s="292"/>
      <c r="AU16" s="249"/>
    </row>
    <row r="17" spans="1:47" s="250" customFormat="1" ht="10.199999999999999" hidden="1" outlineLevel="1">
      <c r="A17" s="238"/>
      <c r="B17" s="238"/>
      <c r="D17" s="238"/>
      <c r="E17" s="238"/>
      <c r="F17" s="238"/>
      <c r="G17" s="238"/>
      <c r="H17" s="238"/>
      <c r="I17" s="238"/>
      <c r="J17" s="238"/>
      <c r="K17" s="238"/>
      <c r="L17" s="251"/>
      <c r="M17" s="303" t="str">
        <f>'Calc.Charts'!A20</f>
        <v>C.A.010</v>
      </c>
      <c r="N17" s="304"/>
      <c r="O17" s="304"/>
      <c r="P17" s="304"/>
      <c r="Q17" s="304"/>
      <c r="R17" s="304"/>
      <c r="S17" s="304"/>
      <c r="T17" s="305"/>
      <c r="U17" s="289">
        <f>MATCH(M17,'Calc.U.Uncertainty'!$A:$A,0)</f>
        <v>274</v>
      </c>
      <c r="V17" s="248"/>
      <c r="W17" s="248"/>
      <c r="X17" s="295" t="s">
        <v>546</v>
      </c>
      <c r="Y17" s="248"/>
      <c r="Z17" s="248"/>
      <c r="AA17" s="248"/>
      <c r="AB17" s="248"/>
      <c r="AC17" s="248"/>
      <c r="AD17" s="248"/>
      <c r="AE17" s="248"/>
      <c r="AF17" s="248"/>
      <c r="AG17" s="248"/>
      <c r="AH17" s="248"/>
      <c r="AI17" s="248"/>
      <c r="AJ17" s="248"/>
      <c r="AK17" s="248"/>
      <c r="AL17" s="248"/>
      <c r="AM17" s="248"/>
      <c r="AN17" s="293">
        <f t="shared" si="0"/>
        <v>1</v>
      </c>
      <c r="AO17" s="248"/>
      <c r="AP17" s="290" t="str">
        <f ca="1">OFFSET('Calc.U.Uncertainty'!$A$1,U17-1,AN17-1)</f>
        <v>C.A.010</v>
      </c>
      <c r="AQ17" s="291"/>
      <c r="AR17" s="291"/>
      <c r="AS17" s="291"/>
      <c r="AT17" s="292"/>
      <c r="AU17" s="249"/>
    </row>
    <row r="18" spans="1:47" s="250" customFormat="1" ht="10.199999999999999" hidden="1" outlineLevel="1">
      <c r="A18" s="238"/>
      <c r="B18" s="238"/>
      <c r="D18" s="238"/>
      <c r="E18" s="238"/>
      <c r="F18" s="238"/>
      <c r="G18" s="238"/>
      <c r="H18" s="238"/>
      <c r="I18" s="238"/>
      <c r="J18" s="238"/>
      <c r="K18" s="238"/>
      <c r="L18" s="251"/>
      <c r="M18" s="303" t="str">
        <f>'Calc.Charts'!A21</f>
        <v>C.A.011</v>
      </c>
      <c r="N18" s="304"/>
      <c r="O18" s="304"/>
      <c r="P18" s="304"/>
      <c r="Q18" s="304"/>
      <c r="R18" s="304"/>
      <c r="S18" s="304"/>
      <c r="T18" s="305"/>
      <c r="U18" s="289">
        <f>MATCH(M18,'Calc.U.Uncertainty'!$A:$A,0)</f>
        <v>275</v>
      </c>
      <c r="V18" s="248"/>
      <c r="W18" s="248"/>
      <c r="X18" s="295" t="s">
        <v>546</v>
      </c>
      <c r="Y18" s="248"/>
      <c r="Z18" s="248"/>
      <c r="AA18" s="248"/>
      <c r="AB18" s="248"/>
      <c r="AC18" s="248"/>
      <c r="AD18" s="248"/>
      <c r="AE18" s="248"/>
      <c r="AF18" s="248"/>
      <c r="AG18" s="248"/>
      <c r="AH18" s="248"/>
      <c r="AI18" s="248"/>
      <c r="AJ18" s="248"/>
      <c r="AK18" s="248"/>
      <c r="AL18" s="248"/>
      <c r="AM18" s="248"/>
      <c r="AN18" s="293">
        <f t="shared" si="0"/>
        <v>1</v>
      </c>
      <c r="AO18" s="248"/>
      <c r="AP18" s="290" t="str">
        <f ca="1">OFFSET('Calc.U.Uncertainty'!$A$1,U18-1,AN18-1)</f>
        <v>C.A.011</v>
      </c>
      <c r="AQ18" s="291"/>
      <c r="AR18" s="291"/>
      <c r="AS18" s="291"/>
      <c r="AT18" s="292"/>
      <c r="AU18" s="249"/>
    </row>
    <row r="19" spans="1:47" s="250" customFormat="1" ht="10.199999999999999" hidden="1" outlineLevel="1">
      <c r="A19" s="238"/>
      <c r="B19" s="238"/>
      <c r="D19" s="238"/>
      <c r="E19" s="238"/>
      <c r="F19" s="238"/>
      <c r="G19" s="238"/>
      <c r="H19" s="238"/>
      <c r="I19" s="238"/>
      <c r="J19" s="238"/>
      <c r="K19" s="238"/>
      <c r="L19" s="251"/>
      <c r="M19" s="303" t="str">
        <f>'Calc.Charts'!A22</f>
        <v>C.A.012</v>
      </c>
      <c r="N19" s="304"/>
      <c r="O19" s="304"/>
      <c r="P19" s="304"/>
      <c r="Q19" s="304"/>
      <c r="R19" s="304"/>
      <c r="S19" s="304"/>
      <c r="T19" s="305"/>
      <c r="U19" s="289">
        <f>MATCH(M19,'Calc.U.Uncertainty'!$A:$A,0)</f>
        <v>276</v>
      </c>
      <c r="V19" s="248"/>
      <c r="W19" s="248"/>
      <c r="X19" s="295" t="s">
        <v>546</v>
      </c>
      <c r="Y19" s="248"/>
      <c r="Z19" s="248"/>
      <c r="AA19" s="248"/>
      <c r="AB19" s="248"/>
      <c r="AC19" s="248"/>
      <c r="AD19" s="248"/>
      <c r="AE19" s="248"/>
      <c r="AF19" s="248"/>
      <c r="AG19" s="248"/>
      <c r="AH19" s="248"/>
      <c r="AI19" s="248"/>
      <c r="AJ19" s="248"/>
      <c r="AK19" s="248"/>
      <c r="AL19" s="248"/>
      <c r="AM19" s="248"/>
      <c r="AN19" s="293">
        <f t="shared" si="0"/>
        <v>1</v>
      </c>
      <c r="AO19" s="248"/>
      <c r="AP19" s="290" t="str">
        <f ca="1">OFFSET('Calc.U.Uncertainty'!$A$1,U19-1,AN19-1)</f>
        <v>C.A.012</v>
      </c>
      <c r="AQ19" s="291"/>
      <c r="AR19" s="291"/>
      <c r="AS19" s="291"/>
      <c r="AT19" s="292"/>
      <c r="AU19" s="249"/>
    </row>
    <row r="20" spans="1:47" s="250" customFormat="1" ht="31.2" hidden="1" customHeight="1" outlineLevel="1">
      <c r="A20" s="238"/>
      <c r="B20" s="238"/>
      <c r="D20" s="238"/>
      <c r="E20" s="238"/>
      <c r="F20" s="238"/>
      <c r="G20" s="238"/>
      <c r="H20" s="238"/>
      <c r="I20" s="238"/>
      <c r="J20" s="238"/>
      <c r="K20" s="238"/>
      <c r="L20" s="251"/>
      <c r="M20" s="294" t="str">
        <f t="shared" ref="M20:M43" si="1">M8</f>
        <v>C.A.001</v>
      </c>
      <c r="N20" s="248"/>
      <c r="O20" s="248"/>
      <c r="P20" s="248"/>
      <c r="Q20" s="248"/>
      <c r="R20" s="248"/>
      <c r="S20" s="248"/>
      <c r="T20" s="248"/>
      <c r="U20" s="289">
        <f>MATCH(M20,'Calc.U.Uncertainty'!$A:$A,0)</f>
        <v>265</v>
      </c>
      <c r="V20" s="248"/>
      <c r="W20" s="248"/>
      <c r="X20" s="288" t="s">
        <v>701</v>
      </c>
      <c r="Y20" s="248"/>
      <c r="Z20" s="248"/>
      <c r="AA20" s="248"/>
      <c r="AB20" s="248"/>
      <c r="AC20" s="248"/>
      <c r="AD20" s="248"/>
      <c r="AE20" s="248"/>
      <c r="AF20" s="248"/>
      <c r="AG20" s="248"/>
      <c r="AH20" s="248"/>
      <c r="AI20" s="248"/>
      <c r="AJ20" s="248"/>
      <c r="AK20" s="248"/>
      <c r="AL20" s="248"/>
      <c r="AM20" s="248"/>
      <c r="AN20" s="289">
        <f>MATCH(X20,'Calc.U.Uncertainty'!$1:$1,0)</f>
        <v>3</v>
      </c>
      <c r="AO20" s="248"/>
      <c r="AP20" s="306" t="str">
        <f ca="1">OFFSET('Calc.U.Uncertainty'!$A$1,U20-1,AN20-1)</f>
        <v>Building from 1960, original | no insulation upgrade</v>
      </c>
      <c r="AQ20" s="307"/>
      <c r="AR20" s="307"/>
      <c r="AS20" s="307"/>
      <c r="AT20" s="308"/>
      <c r="AU20" s="249"/>
    </row>
    <row r="21" spans="1:47" s="250" customFormat="1" ht="31.2" hidden="1" customHeight="1" outlineLevel="1">
      <c r="A21" s="238"/>
      <c r="B21" s="238"/>
      <c r="D21" s="238"/>
      <c r="E21" s="238"/>
      <c r="F21" s="238"/>
      <c r="G21" s="238"/>
      <c r="H21" s="238"/>
      <c r="I21" s="238"/>
      <c r="J21" s="238"/>
      <c r="K21" s="238"/>
      <c r="L21" s="251"/>
      <c r="M21" s="294" t="str">
        <f t="shared" si="1"/>
        <v>C.A.002</v>
      </c>
      <c r="N21" s="248"/>
      <c r="O21" s="248"/>
      <c r="P21" s="248"/>
      <c r="Q21" s="248"/>
      <c r="R21" s="248"/>
      <c r="S21" s="248"/>
      <c r="T21" s="248"/>
      <c r="U21" s="289">
        <f>MATCH(M21,'Calc.U.Uncertainty'!$A:$A,0)</f>
        <v>266</v>
      </c>
      <c r="V21" s="248"/>
      <c r="W21" s="248"/>
      <c r="X21" s="295" t="s">
        <v>701</v>
      </c>
      <c r="Y21" s="248"/>
      <c r="Z21" s="248"/>
      <c r="AA21" s="248"/>
      <c r="AB21" s="248"/>
      <c r="AC21" s="248"/>
      <c r="AD21" s="248"/>
      <c r="AE21" s="248"/>
      <c r="AF21" s="248"/>
      <c r="AG21" s="248"/>
      <c r="AH21" s="248"/>
      <c r="AI21" s="248"/>
      <c r="AJ21" s="248"/>
      <c r="AK21" s="248"/>
      <c r="AL21" s="248"/>
      <c r="AM21" s="248"/>
      <c r="AN21" s="293">
        <f t="shared" ref="AN21:AN31" si="2">AN20</f>
        <v>3</v>
      </c>
      <c r="AO21" s="248"/>
      <c r="AP21" s="306" t="str">
        <f ca="1">OFFSET('Calc.U.Uncertainty'!$A$1,U21-1,AN21-1)</f>
        <v>Building from 1980, original | no insulation upgrade</v>
      </c>
      <c r="AQ21" s="307"/>
      <c r="AR21" s="307"/>
      <c r="AS21" s="307"/>
      <c r="AT21" s="308"/>
      <c r="AU21" s="249"/>
    </row>
    <row r="22" spans="1:47" s="250" customFormat="1" ht="31.2" hidden="1" customHeight="1" outlineLevel="1">
      <c r="A22" s="238"/>
      <c r="B22" s="238"/>
      <c r="D22" s="238"/>
      <c r="E22" s="238"/>
      <c r="F22" s="238"/>
      <c r="G22" s="238"/>
      <c r="H22" s="238"/>
      <c r="I22" s="238"/>
      <c r="J22" s="238"/>
      <c r="K22" s="238"/>
      <c r="L22" s="251"/>
      <c r="M22" s="294" t="str">
        <f t="shared" si="1"/>
        <v>C.A.003</v>
      </c>
      <c r="N22" s="248"/>
      <c r="O22" s="248"/>
      <c r="P22" s="248"/>
      <c r="Q22" s="248"/>
      <c r="R22" s="248"/>
      <c r="S22" s="248"/>
      <c r="T22" s="248"/>
      <c r="U22" s="289">
        <f>MATCH(M22,'Calc.U.Uncertainty'!$A:$A,0)</f>
        <v>267</v>
      </c>
      <c r="V22" s="248"/>
      <c r="W22" s="248"/>
      <c r="X22" s="295" t="s">
        <v>701</v>
      </c>
      <c r="Y22" s="248"/>
      <c r="Z22" s="248"/>
      <c r="AA22" s="248"/>
      <c r="AB22" s="248"/>
      <c r="AC22" s="248"/>
      <c r="AD22" s="248"/>
      <c r="AE22" s="248"/>
      <c r="AF22" s="248"/>
      <c r="AG22" s="248"/>
      <c r="AH22" s="248"/>
      <c r="AI22" s="248"/>
      <c r="AJ22" s="248"/>
      <c r="AK22" s="248"/>
      <c r="AL22" s="248"/>
      <c r="AM22" s="248"/>
      <c r="AN22" s="293">
        <f t="shared" si="2"/>
        <v>3</v>
      </c>
      <c r="AO22" s="248"/>
      <c r="AP22" s="306" t="str">
        <f ca="1">OFFSET('Calc.U.Uncertainty'!$A$1,U22-1,AN22-1)</f>
        <v>Building from 2000, original | no insulation upgrade</v>
      </c>
      <c r="AQ22" s="307"/>
      <c r="AR22" s="307"/>
      <c r="AS22" s="307"/>
      <c r="AT22" s="308"/>
      <c r="AU22" s="249"/>
    </row>
    <row r="23" spans="1:47" s="250" customFormat="1" ht="31.2" hidden="1" customHeight="1" outlineLevel="1">
      <c r="A23" s="238"/>
      <c r="B23" s="238"/>
      <c r="D23" s="238"/>
      <c r="E23" s="238"/>
      <c r="F23" s="238"/>
      <c r="G23" s="238"/>
      <c r="H23" s="238"/>
      <c r="I23" s="238"/>
      <c r="J23" s="238"/>
      <c r="K23" s="238"/>
      <c r="L23" s="251"/>
      <c r="M23" s="294" t="str">
        <f t="shared" si="1"/>
        <v>C.A.004</v>
      </c>
      <c r="N23" s="248"/>
      <c r="O23" s="248"/>
      <c r="P23" s="248"/>
      <c r="Q23" s="248"/>
      <c r="R23" s="248"/>
      <c r="S23" s="248"/>
      <c r="T23" s="248"/>
      <c r="U23" s="289">
        <f>MATCH(M23,'Calc.U.Uncertainty'!$A:$A,0)</f>
        <v>268</v>
      </c>
      <c r="V23" s="248"/>
      <c r="W23" s="248"/>
      <c r="X23" s="295" t="s">
        <v>701</v>
      </c>
      <c r="Y23" s="248"/>
      <c r="Z23" s="248"/>
      <c r="AA23" s="248"/>
      <c r="AB23" s="248"/>
      <c r="AC23" s="248"/>
      <c r="AD23" s="248"/>
      <c r="AE23" s="248"/>
      <c r="AF23" s="248"/>
      <c r="AG23" s="248"/>
      <c r="AH23" s="248"/>
      <c r="AI23" s="248"/>
      <c r="AJ23" s="248"/>
      <c r="AK23" s="248"/>
      <c r="AL23" s="248"/>
      <c r="AM23" s="248"/>
      <c r="AN23" s="293">
        <f t="shared" si="2"/>
        <v>3</v>
      </c>
      <c r="AO23" s="248"/>
      <c r="AP23" s="306" t="str">
        <f ca="1">OFFSET('Calc.U.Uncertainty'!$A$1,U23-1,AN23-1)</f>
        <v>Building from 1960, insulation upgrade: d = 4 cm | f = 1.00 | Lambda = 0.045 | data from records</v>
      </c>
      <c r="AQ23" s="307"/>
      <c r="AR23" s="307"/>
      <c r="AS23" s="307"/>
      <c r="AT23" s="308"/>
      <c r="AU23" s="249"/>
    </row>
    <row r="24" spans="1:47" s="250" customFormat="1" ht="31.2" hidden="1" customHeight="1" outlineLevel="1">
      <c r="A24" s="238"/>
      <c r="B24" s="238"/>
      <c r="D24" s="238"/>
      <c r="E24" s="238"/>
      <c r="F24" s="238"/>
      <c r="G24" s="238"/>
      <c r="H24" s="238"/>
      <c r="I24" s="238"/>
      <c r="J24" s="238"/>
      <c r="K24" s="238"/>
      <c r="L24" s="251"/>
      <c r="M24" s="294" t="str">
        <f t="shared" si="1"/>
        <v>C.A.005</v>
      </c>
      <c r="N24" s="248"/>
      <c r="O24" s="248"/>
      <c r="P24" s="248"/>
      <c r="Q24" s="248"/>
      <c r="R24" s="248"/>
      <c r="S24" s="248"/>
      <c r="T24" s="248"/>
      <c r="U24" s="289">
        <f>MATCH(M24,'Calc.U.Uncertainty'!$A:$A,0)</f>
        <v>269</v>
      </c>
      <c r="V24" s="248"/>
      <c r="W24" s="248"/>
      <c r="X24" s="295" t="s">
        <v>701</v>
      </c>
      <c r="Y24" s="248"/>
      <c r="Z24" s="248"/>
      <c r="AA24" s="248"/>
      <c r="AB24" s="248"/>
      <c r="AC24" s="248"/>
      <c r="AD24" s="248"/>
      <c r="AE24" s="248"/>
      <c r="AF24" s="248"/>
      <c r="AG24" s="248"/>
      <c r="AH24" s="248"/>
      <c r="AI24" s="248"/>
      <c r="AJ24" s="248"/>
      <c r="AK24" s="248"/>
      <c r="AL24" s="248"/>
      <c r="AM24" s="248"/>
      <c r="AN24" s="293">
        <f t="shared" si="2"/>
        <v>3</v>
      </c>
      <c r="AO24" s="248"/>
      <c r="AP24" s="306" t="str">
        <f ca="1">OFFSET('Calc.U.Uncertainty'!$A$1,U24-1,AN24-1)</f>
        <v>Building from 1960, insulation upgrade: d = 16 cm | f = 1.00 | Lambda = 0.035 | data from records</v>
      </c>
      <c r="AQ24" s="307"/>
      <c r="AR24" s="307"/>
      <c r="AS24" s="307"/>
      <c r="AT24" s="308"/>
      <c r="AU24" s="249"/>
    </row>
    <row r="25" spans="1:47" s="250" customFormat="1" ht="31.2" hidden="1" customHeight="1" outlineLevel="1">
      <c r="A25" s="238"/>
      <c r="B25" s="238"/>
      <c r="D25" s="238"/>
      <c r="E25" s="238"/>
      <c r="F25" s="238"/>
      <c r="G25" s="238"/>
      <c r="H25" s="238"/>
      <c r="I25" s="238"/>
      <c r="J25" s="238"/>
      <c r="K25" s="238"/>
      <c r="L25" s="251"/>
      <c r="M25" s="294" t="str">
        <f t="shared" si="1"/>
        <v>C.A.006</v>
      </c>
      <c r="N25" s="248"/>
      <c r="O25" s="248"/>
      <c r="P25" s="248"/>
      <c r="Q25" s="248"/>
      <c r="R25" s="248"/>
      <c r="S25" s="248"/>
      <c r="T25" s="248"/>
      <c r="U25" s="289">
        <f>MATCH(M25,'Calc.U.Uncertainty'!$A:$A,0)</f>
        <v>270</v>
      </c>
      <c r="V25" s="248"/>
      <c r="W25" s="248"/>
      <c r="X25" s="295" t="s">
        <v>701</v>
      </c>
      <c r="Y25" s="248"/>
      <c r="Z25" s="248"/>
      <c r="AA25" s="248"/>
      <c r="AB25" s="248"/>
      <c r="AC25" s="248"/>
      <c r="AD25" s="248"/>
      <c r="AE25" s="248"/>
      <c r="AF25" s="248"/>
      <c r="AG25" s="248"/>
      <c r="AH25" s="248"/>
      <c r="AI25" s="248"/>
      <c r="AJ25" s="248"/>
      <c r="AK25" s="248"/>
      <c r="AL25" s="248"/>
      <c r="AM25" s="248"/>
      <c r="AN25" s="293">
        <f t="shared" si="2"/>
        <v>3</v>
      </c>
      <c r="AO25" s="248"/>
      <c r="AP25" s="306" t="str">
        <f ca="1">OFFSET('Calc.U.Uncertainty'!$A$1,U25-1,AN25-1)</f>
        <v>Building from 1960, insulation upgrade: d = 16 cm | f = 1.00 | Lambda = 0.035 | design data</v>
      </c>
      <c r="AQ25" s="307"/>
      <c r="AR25" s="307"/>
      <c r="AS25" s="307"/>
      <c r="AT25" s="308"/>
      <c r="AU25" s="249"/>
    </row>
    <row r="26" spans="1:47" s="250" customFormat="1" ht="31.2" hidden="1" customHeight="1" outlineLevel="1">
      <c r="A26" s="238"/>
      <c r="B26" s="238"/>
      <c r="D26" s="238"/>
      <c r="E26" s="238"/>
      <c r="F26" s="238"/>
      <c r="G26" s="238"/>
      <c r="H26" s="238"/>
      <c r="I26" s="238"/>
      <c r="J26" s="238"/>
      <c r="K26" s="238"/>
      <c r="L26" s="251"/>
      <c r="M26" s="294" t="str">
        <f t="shared" si="1"/>
        <v>C.A.007</v>
      </c>
      <c r="N26" s="248"/>
      <c r="O26" s="248"/>
      <c r="P26" s="248"/>
      <c r="Q26" s="248"/>
      <c r="R26" s="248"/>
      <c r="S26" s="248"/>
      <c r="T26" s="248"/>
      <c r="U26" s="289">
        <f>MATCH(M26,'Calc.U.Uncertainty'!$A:$A,0)</f>
        <v>271</v>
      </c>
      <c r="V26" s="248"/>
      <c r="W26" s="248"/>
      <c r="X26" s="295" t="s">
        <v>701</v>
      </c>
      <c r="Y26" s="248"/>
      <c r="Z26" s="248"/>
      <c r="AA26" s="248"/>
      <c r="AB26" s="248"/>
      <c r="AC26" s="248"/>
      <c r="AD26" s="248"/>
      <c r="AE26" s="248"/>
      <c r="AF26" s="248"/>
      <c r="AG26" s="248"/>
      <c r="AH26" s="248"/>
      <c r="AI26" s="248"/>
      <c r="AJ26" s="248"/>
      <c r="AK26" s="248"/>
      <c r="AL26" s="248"/>
      <c r="AM26" s="248"/>
      <c r="AN26" s="293">
        <f t="shared" si="2"/>
        <v>3</v>
      </c>
      <c r="AO26" s="248"/>
      <c r="AP26" s="306" t="str">
        <f ca="1">OFFSET('Calc.U.Uncertainty'!$A$1,U26-1,AN26-1)</f>
        <v>Building from 1960, insulation upgrade: d = 16 cm | f = 1.00 | Lambda = 0.035 | design data with quality assurance</v>
      </c>
      <c r="AQ26" s="307"/>
      <c r="AR26" s="307"/>
      <c r="AS26" s="307"/>
      <c r="AT26" s="308"/>
      <c r="AU26" s="249"/>
    </row>
    <row r="27" spans="1:47" s="250" customFormat="1" ht="31.2" hidden="1" customHeight="1" outlineLevel="1">
      <c r="A27" s="238"/>
      <c r="B27" s="238"/>
      <c r="D27" s="238"/>
      <c r="E27" s="238"/>
      <c r="F27" s="238"/>
      <c r="G27" s="238"/>
      <c r="H27" s="238"/>
      <c r="I27" s="238"/>
      <c r="J27" s="238"/>
      <c r="K27" s="238"/>
      <c r="L27" s="251"/>
      <c r="M27" s="294" t="str">
        <f t="shared" si="1"/>
        <v>C.A.008</v>
      </c>
      <c r="N27" s="248"/>
      <c r="O27" s="248"/>
      <c r="P27" s="248"/>
      <c r="Q27" s="248"/>
      <c r="R27" s="248"/>
      <c r="S27" s="248"/>
      <c r="T27" s="248"/>
      <c r="U27" s="289">
        <f>MATCH(M27,'Calc.U.Uncertainty'!$A:$A,0)</f>
        <v>272</v>
      </c>
      <c r="V27" s="248"/>
      <c r="W27" s="248"/>
      <c r="X27" s="295" t="s">
        <v>701</v>
      </c>
      <c r="Y27" s="248"/>
      <c r="Z27" s="248"/>
      <c r="AA27" s="248"/>
      <c r="AB27" s="248"/>
      <c r="AC27" s="248"/>
      <c r="AD27" s="248"/>
      <c r="AE27" s="248"/>
      <c r="AF27" s="248"/>
      <c r="AG27" s="248"/>
      <c r="AH27" s="248"/>
      <c r="AI27" s="248"/>
      <c r="AJ27" s="248"/>
      <c r="AK27" s="248"/>
      <c r="AL27" s="248"/>
      <c r="AM27" s="248"/>
      <c r="AN27" s="293">
        <f t="shared" si="2"/>
        <v>3</v>
      </c>
      <c r="AO27" s="248"/>
      <c r="AP27" s="306" t="str">
        <f ca="1">OFFSET('Calc.U.Uncertainty'!$A$1,U27-1,AN27-1)</f>
        <v>Building from 1960, insulation upgrade: d = 30 cm | f = 0.50 | Lambda = 0.035 | data from ex-post-elevation</v>
      </c>
      <c r="AQ27" s="307"/>
      <c r="AR27" s="307"/>
      <c r="AS27" s="307"/>
      <c r="AT27" s="308"/>
      <c r="AU27" s="249"/>
    </row>
    <row r="28" spans="1:47" s="250" customFormat="1" ht="31.2" hidden="1" customHeight="1" outlineLevel="1">
      <c r="A28" s="238"/>
      <c r="B28" s="238"/>
      <c r="D28" s="238"/>
      <c r="E28" s="238"/>
      <c r="F28" s="238"/>
      <c r="G28" s="238"/>
      <c r="H28" s="238"/>
      <c r="I28" s="238"/>
      <c r="J28" s="238"/>
      <c r="K28" s="238"/>
      <c r="L28" s="251"/>
      <c r="M28" s="294" t="str">
        <f t="shared" si="1"/>
        <v>C.A.009</v>
      </c>
      <c r="N28" s="248"/>
      <c r="O28" s="248"/>
      <c r="P28" s="248"/>
      <c r="Q28" s="248"/>
      <c r="R28" s="248"/>
      <c r="S28" s="248"/>
      <c r="T28" s="248"/>
      <c r="U28" s="289">
        <f>MATCH(M28,'Calc.U.Uncertainty'!$A:$A,0)</f>
        <v>273</v>
      </c>
      <c r="V28" s="248"/>
      <c r="W28" s="248"/>
      <c r="X28" s="295" t="s">
        <v>701</v>
      </c>
      <c r="Y28" s="248"/>
      <c r="Z28" s="248"/>
      <c r="AA28" s="248"/>
      <c r="AB28" s="248"/>
      <c r="AC28" s="248"/>
      <c r="AD28" s="248"/>
      <c r="AE28" s="248"/>
      <c r="AF28" s="248"/>
      <c r="AG28" s="248"/>
      <c r="AH28" s="248"/>
      <c r="AI28" s="248"/>
      <c r="AJ28" s="248"/>
      <c r="AK28" s="248"/>
      <c r="AL28" s="248"/>
      <c r="AM28" s="248"/>
      <c r="AN28" s="293">
        <f t="shared" si="2"/>
        <v>3</v>
      </c>
      <c r="AO28" s="248"/>
      <c r="AP28" s="306" t="str">
        <f ca="1">OFFSET('Calc.U.Uncertainty'!$A$1,U28-1,AN28-1)</f>
        <v>Building from 1960, insulation upgrade: d = 30 cm | f = 1.00 | Lambda = 0.035 | data from ex-post-elevation</v>
      </c>
      <c r="AQ28" s="307"/>
      <c r="AR28" s="307"/>
      <c r="AS28" s="307"/>
      <c r="AT28" s="308"/>
      <c r="AU28" s="249"/>
    </row>
    <row r="29" spans="1:47" s="250" customFormat="1" ht="31.2" hidden="1" customHeight="1" outlineLevel="1">
      <c r="A29" s="238"/>
      <c r="B29" s="238"/>
      <c r="D29" s="238"/>
      <c r="E29" s="238"/>
      <c r="F29" s="238"/>
      <c r="G29" s="238"/>
      <c r="H29" s="238"/>
      <c r="I29" s="238"/>
      <c r="J29" s="238"/>
      <c r="K29" s="238"/>
      <c r="L29" s="251"/>
      <c r="M29" s="294" t="str">
        <f t="shared" si="1"/>
        <v>C.A.010</v>
      </c>
      <c r="N29" s="248"/>
      <c r="O29" s="248"/>
      <c r="P29" s="248"/>
      <c r="Q29" s="248"/>
      <c r="R29" s="248"/>
      <c r="S29" s="248"/>
      <c r="T29" s="248"/>
      <c r="U29" s="289">
        <f>MATCH(M29,'Calc.U.Uncertainty'!$A:$A,0)</f>
        <v>274</v>
      </c>
      <c r="V29" s="248"/>
      <c r="W29" s="248"/>
      <c r="X29" s="295" t="s">
        <v>701</v>
      </c>
      <c r="Y29" s="248"/>
      <c r="Z29" s="248"/>
      <c r="AA29" s="248"/>
      <c r="AB29" s="248"/>
      <c r="AC29" s="248"/>
      <c r="AD29" s="248"/>
      <c r="AE29" s="248"/>
      <c r="AF29" s="248"/>
      <c r="AG29" s="248"/>
      <c r="AH29" s="248"/>
      <c r="AI29" s="248"/>
      <c r="AJ29" s="248"/>
      <c r="AK29" s="248"/>
      <c r="AL29" s="248"/>
      <c r="AM29" s="248"/>
      <c r="AN29" s="293">
        <f t="shared" si="2"/>
        <v>3</v>
      </c>
      <c r="AO29" s="248"/>
      <c r="AP29" s="306" t="str">
        <f ca="1">OFFSET('Calc.U.Uncertainty'!$A$1,U29-1,AN29-1)</f>
        <v>Building from 1960, no information if insulation upgrade has been performed [values used for f and d: average of all buildings*]</v>
      </c>
      <c r="AQ29" s="307"/>
      <c r="AR29" s="307"/>
      <c r="AS29" s="307"/>
      <c r="AT29" s="308"/>
      <c r="AU29" s="249"/>
    </row>
    <row r="30" spans="1:47" s="250" customFormat="1" ht="31.2" hidden="1" customHeight="1" outlineLevel="1">
      <c r="A30" s="238"/>
      <c r="B30" s="238"/>
      <c r="D30" s="238"/>
      <c r="E30" s="238"/>
      <c r="F30" s="238"/>
      <c r="G30" s="238"/>
      <c r="H30" s="238"/>
      <c r="I30" s="238"/>
      <c r="J30" s="238"/>
      <c r="K30" s="238"/>
      <c r="L30" s="251"/>
      <c r="M30" s="294" t="str">
        <f t="shared" si="1"/>
        <v>C.A.011</v>
      </c>
      <c r="N30" s="248"/>
      <c r="O30" s="248"/>
      <c r="P30" s="248"/>
      <c r="Q30" s="248"/>
      <c r="R30" s="248"/>
      <c r="S30" s="248"/>
      <c r="T30" s="248"/>
      <c r="U30" s="289">
        <f>MATCH(M30,'Calc.U.Uncertainty'!$A:$A,0)</f>
        <v>275</v>
      </c>
      <c r="V30" s="248"/>
      <c r="W30" s="248"/>
      <c r="X30" s="295" t="s">
        <v>701</v>
      </c>
      <c r="Y30" s="248"/>
      <c r="Z30" s="248"/>
      <c r="AA30" s="248"/>
      <c r="AB30" s="248"/>
      <c r="AC30" s="248"/>
      <c r="AD30" s="248"/>
      <c r="AE30" s="248"/>
      <c r="AF30" s="248"/>
      <c r="AG30" s="248"/>
      <c r="AH30" s="248"/>
      <c r="AI30" s="248"/>
      <c r="AJ30" s="248"/>
      <c r="AK30" s="248"/>
      <c r="AL30" s="248"/>
      <c r="AM30" s="248"/>
      <c r="AN30" s="293">
        <f t="shared" si="2"/>
        <v>3</v>
      </c>
      <c r="AO30" s="248"/>
      <c r="AP30" s="306" t="str">
        <f ca="1">OFFSET('Calc.U.Uncertainty'!$A$1,U30-1,AN30-1)</f>
        <v>Building from 1960, insulation upgrade in 1990; no information about d and f [values used: average of refurbished buildings*]</v>
      </c>
      <c r="AQ30" s="307"/>
      <c r="AR30" s="307"/>
      <c r="AS30" s="307"/>
      <c r="AT30" s="308"/>
      <c r="AU30" s="249"/>
    </row>
    <row r="31" spans="1:47" s="250" customFormat="1" ht="31.2" hidden="1" customHeight="1" outlineLevel="1">
      <c r="A31" s="238"/>
      <c r="B31" s="238"/>
      <c r="D31" s="238"/>
      <c r="E31" s="238"/>
      <c r="F31" s="238"/>
      <c r="G31" s="238"/>
      <c r="H31" s="238"/>
      <c r="I31" s="238"/>
      <c r="J31" s="238"/>
      <c r="K31" s="238"/>
      <c r="L31" s="251"/>
      <c r="M31" s="294" t="str">
        <f t="shared" si="1"/>
        <v>C.A.012</v>
      </c>
      <c r="N31" s="248"/>
      <c r="O31" s="248"/>
      <c r="P31" s="248"/>
      <c r="Q31" s="248"/>
      <c r="R31" s="248"/>
      <c r="S31" s="248"/>
      <c r="T31" s="248"/>
      <c r="U31" s="289">
        <f>MATCH(M31,'Calc.U.Uncertainty'!$A:$A,0)</f>
        <v>276</v>
      </c>
      <c r="V31" s="248"/>
      <c r="W31" s="248"/>
      <c r="X31" s="295" t="s">
        <v>701</v>
      </c>
      <c r="Y31" s="248"/>
      <c r="Z31" s="248"/>
      <c r="AA31" s="248"/>
      <c r="AB31" s="248"/>
      <c r="AC31" s="248"/>
      <c r="AD31" s="248"/>
      <c r="AE31" s="248"/>
      <c r="AF31" s="248"/>
      <c r="AG31" s="248"/>
      <c r="AH31" s="248"/>
      <c r="AI31" s="248"/>
      <c r="AJ31" s="248"/>
      <c r="AK31" s="248"/>
      <c r="AL31" s="248"/>
      <c r="AM31" s="248"/>
      <c r="AN31" s="293">
        <f t="shared" si="2"/>
        <v>3</v>
      </c>
      <c r="AO31" s="248"/>
      <c r="AP31" s="306" t="str">
        <f ca="1">OFFSET('Calc.U.Uncertainty'!$A$1,U31-1,AN31-1)</f>
        <v>Building from 1960, insul. upgr. in 2017 | no information about d and f [values used: average of refurbished buildings*]</v>
      </c>
      <c r="AQ31" s="307"/>
      <c r="AR31" s="307"/>
      <c r="AS31" s="307"/>
      <c r="AT31" s="308"/>
      <c r="AU31" s="249"/>
    </row>
    <row r="32" spans="1:47" s="250" customFormat="1" ht="10.199999999999999" hidden="1" outlineLevel="1">
      <c r="A32" s="238"/>
      <c r="B32" s="238"/>
      <c r="D32" s="238"/>
      <c r="E32" s="238"/>
      <c r="F32" s="238"/>
      <c r="G32" s="238"/>
      <c r="H32" s="238"/>
      <c r="I32" s="238"/>
      <c r="J32" s="238"/>
      <c r="K32" s="238"/>
      <c r="L32" s="251"/>
      <c r="M32" s="294" t="str">
        <f t="shared" si="1"/>
        <v>C.A.001</v>
      </c>
      <c r="N32" s="248"/>
      <c r="O32" s="248"/>
      <c r="P32" s="248"/>
      <c r="Q32" s="248"/>
      <c r="R32" s="248"/>
      <c r="S32" s="248"/>
      <c r="T32" s="248"/>
      <c r="U32" s="289">
        <f>MATCH(M32,'Calc.U.Uncertainty'!$A:$A,0)</f>
        <v>265</v>
      </c>
      <c r="V32" s="248"/>
      <c r="W32" s="248"/>
      <c r="X32" s="288" t="s">
        <v>707</v>
      </c>
      <c r="Y32" s="248"/>
      <c r="Z32" s="248"/>
      <c r="AA32" s="248"/>
      <c r="AB32" s="248"/>
      <c r="AC32" s="248"/>
      <c r="AD32" s="248"/>
      <c r="AE32" s="248"/>
      <c r="AF32" s="248"/>
      <c r="AG32" s="248"/>
      <c r="AH32" s="248"/>
      <c r="AI32" s="248"/>
      <c r="AJ32" s="248"/>
      <c r="AK32" s="248"/>
      <c r="AL32" s="248"/>
      <c r="AM32" s="248"/>
      <c r="AN32" s="289">
        <f>MATCH(X32,'Calc.U.Uncertainty'!$1:$1,0)</f>
        <v>85</v>
      </c>
      <c r="AO32" s="248"/>
      <c r="AP32" s="290">
        <f ca="1">OFFSET('Calc.U.Uncertainty'!$A$1,U32-1,AN32-1)</f>
        <v>1.1000000000000001</v>
      </c>
      <c r="AQ32" s="291"/>
      <c r="AR32" s="291"/>
      <c r="AS32" s="291"/>
      <c r="AT32" s="292"/>
      <c r="AU32" s="249"/>
    </row>
    <row r="33" spans="1:47" s="250" customFormat="1" ht="10.199999999999999" hidden="1" outlineLevel="1">
      <c r="A33" s="238"/>
      <c r="B33" s="238"/>
      <c r="D33" s="238"/>
      <c r="E33" s="238"/>
      <c r="F33" s="238"/>
      <c r="G33" s="238"/>
      <c r="H33" s="238"/>
      <c r="I33" s="238"/>
      <c r="J33" s="238"/>
      <c r="K33" s="238"/>
      <c r="L33" s="251"/>
      <c r="M33" s="294" t="str">
        <f t="shared" si="1"/>
        <v>C.A.002</v>
      </c>
      <c r="N33" s="248"/>
      <c r="O33" s="248"/>
      <c r="P33" s="248"/>
      <c r="Q33" s="248"/>
      <c r="R33" s="248"/>
      <c r="S33" s="248"/>
      <c r="T33" s="248"/>
      <c r="U33" s="289">
        <f>MATCH(M33,'Calc.U.Uncertainty'!$A:$A,0)</f>
        <v>266</v>
      </c>
      <c r="V33" s="248"/>
      <c r="W33" s="248"/>
      <c r="X33" s="295" t="s">
        <v>707</v>
      </c>
      <c r="Y33" s="248"/>
      <c r="Z33" s="248"/>
      <c r="AA33" s="248"/>
      <c r="AB33" s="248"/>
      <c r="AC33" s="248"/>
      <c r="AD33" s="248"/>
      <c r="AE33" s="248"/>
      <c r="AF33" s="248"/>
      <c r="AG33" s="248"/>
      <c r="AH33" s="248"/>
      <c r="AI33" s="248"/>
      <c r="AJ33" s="248"/>
      <c r="AK33" s="248"/>
      <c r="AL33" s="248"/>
      <c r="AM33" s="248"/>
      <c r="AN33" s="293">
        <f>AN32</f>
        <v>85</v>
      </c>
      <c r="AO33" s="248"/>
      <c r="AP33" s="290">
        <f ca="1">OFFSET('Calc.U.Uncertainty'!$A$1,U33-1,AN33-1)</f>
        <v>0.6</v>
      </c>
      <c r="AQ33" s="291"/>
      <c r="AR33" s="291"/>
      <c r="AS33" s="291"/>
      <c r="AT33" s="292"/>
      <c r="AU33" s="249"/>
    </row>
    <row r="34" spans="1:47" s="250" customFormat="1" ht="10.199999999999999" hidden="1" outlineLevel="1">
      <c r="A34" s="238"/>
      <c r="B34" s="238"/>
      <c r="D34" s="238"/>
      <c r="E34" s="238"/>
      <c r="F34" s="238"/>
      <c r="G34" s="238"/>
      <c r="H34" s="238"/>
      <c r="I34" s="238"/>
      <c r="J34" s="238"/>
      <c r="K34" s="238"/>
      <c r="L34" s="251"/>
      <c r="M34" s="294" t="str">
        <f t="shared" si="1"/>
        <v>C.A.003</v>
      </c>
      <c r="N34" s="248"/>
      <c r="O34" s="248"/>
      <c r="P34" s="248"/>
      <c r="Q34" s="248"/>
      <c r="R34" s="248"/>
      <c r="S34" s="248"/>
      <c r="T34" s="248"/>
      <c r="U34" s="289">
        <f>MATCH(M34,'Calc.U.Uncertainty'!$A:$A,0)</f>
        <v>267</v>
      </c>
      <c r="V34" s="248"/>
      <c r="W34" s="248"/>
      <c r="X34" s="295" t="s">
        <v>707</v>
      </c>
      <c r="Y34" s="248"/>
      <c r="Z34" s="248"/>
      <c r="AA34" s="248"/>
      <c r="AB34" s="248"/>
      <c r="AC34" s="248"/>
      <c r="AD34" s="248"/>
      <c r="AE34" s="248"/>
      <c r="AF34" s="248"/>
      <c r="AG34" s="248"/>
      <c r="AH34" s="248"/>
      <c r="AI34" s="248"/>
      <c r="AJ34" s="248"/>
      <c r="AK34" s="248"/>
      <c r="AL34" s="248"/>
      <c r="AM34" s="248"/>
      <c r="AN34" s="293">
        <f t="shared" ref="AN34:AN43" si="3">AN33</f>
        <v>85</v>
      </c>
      <c r="AO34" s="248"/>
      <c r="AP34" s="290">
        <f ca="1">OFFSET('Calc.U.Uncertainty'!$A$1,U34-1,AN34-1)</f>
        <v>0.25</v>
      </c>
      <c r="AQ34" s="291"/>
      <c r="AR34" s="291"/>
      <c r="AS34" s="291"/>
      <c r="AT34" s="292"/>
      <c r="AU34" s="249"/>
    </row>
    <row r="35" spans="1:47" s="250" customFormat="1" ht="10.199999999999999" hidden="1" outlineLevel="1">
      <c r="A35" s="238"/>
      <c r="B35" s="238"/>
      <c r="D35" s="238"/>
      <c r="E35" s="238"/>
      <c r="F35" s="238"/>
      <c r="G35" s="238"/>
      <c r="H35" s="238"/>
      <c r="I35" s="238"/>
      <c r="J35" s="238"/>
      <c r="K35" s="238"/>
      <c r="L35" s="251"/>
      <c r="M35" s="294" t="str">
        <f t="shared" si="1"/>
        <v>C.A.004</v>
      </c>
      <c r="N35" s="248"/>
      <c r="O35" s="248"/>
      <c r="P35" s="248"/>
      <c r="Q35" s="248"/>
      <c r="R35" s="248"/>
      <c r="S35" s="248"/>
      <c r="T35" s="248"/>
      <c r="U35" s="289">
        <f>MATCH(M35,'Calc.U.Uncertainty'!$A:$A,0)</f>
        <v>268</v>
      </c>
      <c r="V35" s="248"/>
      <c r="W35" s="248"/>
      <c r="X35" s="295" t="s">
        <v>707</v>
      </c>
      <c r="Y35" s="248"/>
      <c r="Z35" s="248"/>
      <c r="AA35" s="248"/>
      <c r="AB35" s="248"/>
      <c r="AC35" s="248"/>
      <c r="AD35" s="248"/>
      <c r="AE35" s="248"/>
      <c r="AF35" s="248"/>
      <c r="AG35" s="248"/>
      <c r="AH35" s="248"/>
      <c r="AI35" s="248"/>
      <c r="AJ35" s="248"/>
      <c r="AK35" s="248"/>
      <c r="AL35" s="248"/>
      <c r="AM35" s="248"/>
      <c r="AN35" s="293">
        <f t="shared" si="3"/>
        <v>85</v>
      </c>
      <c r="AO35" s="248"/>
      <c r="AP35" s="290">
        <f ca="1">OFFSET('Calc.U.Uncertainty'!$A$1,U35-1,AN35-1)</f>
        <v>1.1000000000000001</v>
      </c>
      <c r="AQ35" s="291"/>
      <c r="AR35" s="291"/>
      <c r="AS35" s="291"/>
      <c r="AT35" s="292"/>
      <c r="AU35" s="249"/>
    </row>
    <row r="36" spans="1:47" s="250" customFormat="1" ht="10.199999999999999" hidden="1" outlineLevel="1">
      <c r="A36" s="238"/>
      <c r="B36" s="238"/>
      <c r="D36" s="238"/>
      <c r="E36" s="238"/>
      <c r="F36" s="238"/>
      <c r="G36" s="238"/>
      <c r="H36" s="238"/>
      <c r="I36" s="238"/>
      <c r="J36" s="238"/>
      <c r="K36" s="238"/>
      <c r="L36" s="251"/>
      <c r="M36" s="294" t="str">
        <f t="shared" si="1"/>
        <v>C.A.005</v>
      </c>
      <c r="N36" s="248"/>
      <c r="O36" s="248"/>
      <c r="P36" s="248"/>
      <c r="Q36" s="248"/>
      <c r="R36" s="248"/>
      <c r="S36" s="248"/>
      <c r="T36" s="248"/>
      <c r="U36" s="289">
        <f>MATCH(M36,'Calc.U.Uncertainty'!$A:$A,0)</f>
        <v>269</v>
      </c>
      <c r="V36" s="248"/>
      <c r="W36" s="248"/>
      <c r="X36" s="295" t="s">
        <v>707</v>
      </c>
      <c r="Y36" s="248"/>
      <c r="Z36" s="248"/>
      <c r="AA36" s="248"/>
      <c r="AB36" s="248"/>
      <c r="AC36" s="248"/>
      <c r="AD36" s="248"/>
      <c r="AE36" s="248"/>
      <c r="AF36" s="248"/>
      <c r="AG36" s="248"/>
      <c r="AH36" s="248"/>
      <c r="AI36" s="248"/>
      <c r="AJ36" s="248"/>
      <c r="AK36" s="248"/>
      <c r="AL36" s="248"/>
      <c r="AM36" s="248"/>
      <c r="AN36" s="293">
        <f t="shared" si="3"/>
        <v>85</v>
      </c>
      <c r="AO36" s="248"/>
      <c r="AP36" s="290">
        <f ca="1">OFFSET('Calc.U.Uncertainty'!$A$1,U36-1,AN36-1)</f>
        <v>1.1000000000000001</v>
      </c>
      <c r="AQ36" s="291"/>
      <c r="AR36" s="291"/>
      <c r="AS36" s="291"/>
      <c r="AT36" s="292"/>
      <c r="AU36" s="249"/>
    </row>
    <row r="37" spans="1:47" s="250" customFormat="1" ht="10.199999999999999" hidden="1" outlineLevel="1">
      <c r="A37" s="238"/>
      <c r="B37" s="238"/>
      <c r="D37" s="238"/>
      <c r="E37" s="238"/>
      <c r="F37" s="238"/>
      <c r="G37" s="238"/>
      <c r="H37" s="238"/>
      <c r="I37" s="238"/>
      <c r="J37" s="238"/>
      <c r="K37" s="238"/>
      <c r="L37" s="251"/>
      <c r="M37" s="294" t="str">
        <f t="shared" si="1"/>
        <v>C.A.006</v>
      </c>
      <c r="N37" s="248"/>
      <c r="O37" s="248"/>
      <c r="P37" s="248"/>
      <c r="Q37" s="248"/>
      <c r="R37" s="248"/>
      <c r="S37" s="248"/>
      <c r="T37" s="248"/>
      <c r="U37" s="289">
        <f>MATCH(M37,'Calc.U.Uncertainty'!$A:$A,0)</f>
        <v>270</v>
      </c>
      <c r="V37" s="248"/>
      <c r="W37" s="248"/>
      <c r="X37" s="295" t="s">
        <v>707</v>
      </c>
      <c r="Y37" s="248"/>
      <c r="Z37" s="248"/>
      <c r="AA37" s="248"/>
      <c r="AB37" s="248"/>
      <c r="AC37" s="248"/>
      <c r="AD37" s="248"/>
      <c r="AE37" s="248"/>
      <c r="AF37" s="248"/>
      <c r="AG37" s="248"/>
      <c r="AH37" s="248"/>
      <c r="AI37" s="248"/>
      <c r="AJ37" s="248"/>
      <c r="AK37" s="248"/>
      <c r="AL37" s="248"/>
      <c r="AM37" s="248"/>
      <c r="AN37" s="293">
        <f t="shared" si="3"/>
        <v>85</v>
      </c>
      <c r="AO37" s="248"/>
      <c r="AP37" s="290">
        <f ca="1">OFFSET('Calc.U.Uncertainty'!$A$1,U37-1,AN37-1)</f>
        <v>1.1000000000000001</v>
      </c>
      <c r="AQ37" s="291"/>
      <c r="AR37" s="291"/>
      <c r="AS37" s="291"/>
      <c r="AT37" s="292"/>
      <c r="AU37" s="249"/>
    </row>
    <row r="38" spans="1:47" s="250" customFormat="1" ht="10.199999999999999" hidden="1" outlineLevel="1">
      <c r="A38" s="238"/>
      <c r="B38" s="238"/>
      <c r="D38" s="238"/>
      <c r="E38" s="238"/>
      <c r="F38" s="238"/>
      <c r="G38" s="238"/>
      <c r="H38" s="238"/>
      <c r="I38" s="238"/>
      <c r="J38" s="238"/>
      <c r="K38" s="238"/>
      <c r="L38" s="251"/>
      <c r="M38" s="294" t="str">
        <f t="shared" si="1"/>
        <v>C.A.007</v>
      </c>
      <c r="N38" s="248"/>
      <c r="O38" s="248"/>
      <c r="P38" s="248"/>
      <c r="Q38" s="248"/>
      <c r="R38" s="248"/>
      <c r="S38" s="248"/>
      <c r="T38" s="248"/>
      <c r="U38" s="289">
        <f>MATCH(M38,'Calc.U.Uncertainty'!$A:$A,0)</f>
        <v>271</v>
      </c>
      <c r="V38" s="248"/>
      <c r="W38" s="248"/>
      <c r="X38" s="295" t="s">
        <v>707</v>
      </c>
      <c r="Y38" s="248"/>
      <c r="Z38" s="248"/>
      <c r="AA38" s="248"/>
      <c r="AB38" s="248"/>
      <c r="AC38" s="248"/>
      <c r="AD38" s="248"/>
      <c r="AE38" s="248"/>
      <c r="AF38" s="248"/>
      <c r="AG38" s="248"/>
      <c r="AH38" s="248"/>
      <c r="AI38" s="248"/>
      <c r="AJ38" s="248"/>
      <c r="AK38" s="248"/>
      <c r="AL38" s="248"/>
      <c r="AM38" s="248"/>
      <c r="AN38" s="293">
        <f t="shared" si="3"/>
        <v>85</v>
      </c>
      <c r="AO38" s="248"/>
      <c r="AP38" s="290">
        <f ca="1">OFFSET('Calc.U.Uncertainty'!$A$1,U38-1,AN38-1)</f>
        <v>1.1000000000000001</v>
      </c>
      <c r="AQ38" s="291"/>
      <c r="AR38" s="291"/>
      <c r="AS38" s="291"/>
      <c r="AT38" s="292"/>
      <c r="AU38" s="249"/>
    </row>
    <row r="39" spans="1:47" s="250" customFormat="1" ht="10.199999999999999" hidden="1" outlineLevel="1">
      <c r="A39" s="238"/>
      <c r="B39" s="238"/>
      <c r="D39" s="238"/>
      <c r="E39" s="238"/>
      <c r="F39" s="238"/>
      <c r="G39" s="238"/>
      <c r="H39" s="238"/>
      <c r="I39" s="238"/>
      <c r="J39" s="238"/>
      <c r="K39" s="238"/>
      <c r="L39" s="251"/>
      <c r="M39" s="294" t="str">
        <f t="shared" si="1"/>
        <v>C.A.008</v>
      </c>
      <c r="N39" s="248"/>
      <c r="O39" s="248"/>
      <c r="P39" s="248"/>
      <c r="Q39" s="248"/>
      <c r="R39" s="248"/>
      <c r="S39" s="248"/>
      <c r="T39" s="248"/>
      <c r="U39" s="289">
        <f>MATCH(M39,'Calc.U.Uncertainty'!$A:$A,0)</f>
        <v>272</v>
      </c>
      <c r="V39" s="248"/>
      <c r="W39" s="248"/>
      <c r="X39" s="295" t="s">
        <v>707</v>
      </c>
      <c r="Y39" s="248"/>
      <c r="Z39" s="248"/>
      <c r="AA39" s="248"/>
      <c r="AB39" s="248"/>
      <c r="AC39" s="248"/>
      <c r="AD39" s="248"/>
      <c r="AE39" s="248"/>
      <c r="AF39" s="248"/>
      <c r="AG39" s="248"/>
      <c r="AH39" s="248"/>
      <c r="AI39" s="248"/>
      <c r="AJ39" s="248"/>
      <c r="AK39" s="248"/>
      <c r="AL39" s="248"/>
      <c r="AM39" s="248"/>
      <c r="AN39" s="293">
        <f t="shared" si="3"/>
        <v>85</v>
      </c>
      <c r="AO39" s="248"/>
      <c r="AP39" s="290">
        <f ca="1">OFFSET('Calc.U.Uncertainty'!$A$1,U39-1,AN39-1)</f>
        <v>1.1000000000000001</v>
      </c>
      <c r="AQ39" s="291"/>
      <c r="AR39" s="291"/>
      <c r="AS39" s="291"/>
      <c r="AT39" s="292"/>
      <c r="AU39" s="249"/>
    </row>
    <row r="40" spans="1:47" s="250" customFormat="1" ht="10.199999999999999" hidden="1" outlineLevel="1">
      <c r="A40" s="238"/>
      <c r="B40" s="238"/>
      <c r="D40" s="238"/>
      <c r="E40" s="238"/>
      <c r="F40" s="238"/>
      <c r="G40" s="238"/>
      <c r="H40" s="238"/>
      <c r="I40" s="238"/>
      <c r="J40" s="238"/>
      <c r="K40" s="238"/>
      <c r="L40" s="251"/>
      <c r="M40" s="294" t="str">
        <f t="shared" si="1"/>
        <v>C.A.009</v>
      </c>
      <c r="N40" s="248"/>
      <c r="O40" s="248"/>
      <c r="P40" s="248"/>
      <c r="Q40" s="248"/>
      <c r="R40" s="248"/>
      <c r="S40" s="248"/>
      <c r="T40" s="248"/>
      <c r="U40" s="289">
        <f>MATCH(M40,'Calc.U.Uncertainty'!$A:$A,0)</f>
        <v>273</v>
      </c>
      <c r="V40" s="248"/>
      <c r="W40" s="248"/>
      <c r="X40" s="295" t="s">
        <v>707</v>
      </c>
      <c r="Y40" s="248"/>
      <c r="Z40" s="248"/>
      <c r="AA40" s="248"/>
      <c r="AB40" s="248"/>
      <c r="AC40" s="248"/>
      <c r="AD40" s="248"/>
      <c r="AE40" s="248"/>
      <c r="AF40" s="248"/>
      <c r="AG40" s="248"/>
      <c r="AH40" s="248"/>
      <c r="AI40" s="248"/>
      <c r="AJ40" s="248"/>
      <c r="AK40" s="248"/>
      <c r="AL40" s="248"/>
      <c r="AM40" s="248"/>
      <c r="AN40" s="293">
        <f t="shared" si="3"/>
        <v>85</v>
      </c>
      <c r="AO40" s="248"/>
      <c r="AP40" s="290">
        <f ca="1">OFFSET('Calc.U.Uncertainty'!$A$1,U40-1,AN40-1)</f>
        <v>1.1000000000000001</v>
      </c>
      <c r="AQ40" s="291"/>
      <c r="AR40" s="291"/>
      <c r="AS40" s="291"/>
      <c r="AT40" s="292"/>
      <c r="AU40" s="249"/>
    </row>
    <row r="41" spans="1:47" s="250" customFormat="1" ht="10.199999999999999" hidden="1" outlineLevel="1">
      <c r="A41" s="238"/>
      <c r="B41" s="238"/>
      <c r="D41" s="238"/>
      <c r="E41" s="238"/>
      <c r="F41" s="238"/>
      <c r="G41" s="238"/>
      <c r="H41" s="238"/>
      <c r="I41" s="238"/>
      <c r="J41" s="238"/>
      <c r="K41" s="238"/>
      <c r="L41" s="251"/>
      <c r="M41" s="294" t="str">
        <f t="shared" si="1"/>
        <v>C.A.010</v>
      </c>
      <c r="N41" s="248"/>
      <c r="O41" s="248"/>
      <c r="P41" s="248"/>
      <c r="Q41" s="248"/>
      <c r="R41" s="248"/>
      <c r="S41" s="248"/>
      <c r="T41" s="248"/>
      <c r="U41" s="289">
        <f>MATCH(M41,'Calc.U.Uncertainty'!$A:$A,0)</f>
        <v>274</v>
      </c>
      <c r="V41" s="248"/>
      <c r="W41" s="248"/>
      <c r="X41" s="295" t="s">
        <v>707</v>
      </c>
      <c r="Y41" s="248"/>
      <c r="Z41" s="248"/>
      <c r="AA41" s="248"/>
      <c r="AB41" s="248"/>
      <c r="AC41" s="248"/>
      <c r="AD41" s="248"/>
      <c r="AE41" s="248"/>
      <c r="AF41" s="248"/>
      <c r="AG41" s="248"/>
      <c r="AH41" s="248"/>
      <c r="AI41" s="248"/>
      <c r="AJ41" s="248"/>
      <c r="AK41" s="248"/>
      <c r="AL41" s="248"/>
      <c r="AM41" s="248"/>
      <c r="AN41" s="293">
        <f t="shared" si="3"/>
        <v>85</v>
      </c>
      <c r="AO41" s="248"/>
      <c r="AP41" s="290">
        <f ca="1">OFFSET('Calc.U.Uncertainty'!$A$1,U41-1,AN41-1)</f>
        <v>1.1000000000000001</v>
      </c>
      <c r="AQ41" s="291"/>
      <c r="AR41" s="291"/>
      <c r="AS41" s="291"/>
      <c r="AT41" s="292"/>
      <c r="AU41" s="249"/>
    </row>
    <row r="42" spans="1:47" s="250" customFormat="1" ht="10.199999999999999" hidden="1" outlineLevel="1">
      <c r="A42" s="238"/>
      <c r="B42" s="238"/>
      <c r="D42" s="238"/>
      <c r="E42" s="238"/>
      <c r="F42" s="238"/>
      <c r="G42" s="238"/>
      <c r="H42" s="238"/>
      <c r="I42" s="238"/>
      <c r="J42" s="238"/>
      <c r="K42" s="238"/>
      <c r="L42" s="251"/>
      <c r="M42" s="294" t="str">
        <f t="shared" si="1"/>
        <v>C.A.011</v>
      </c>
      <c r="N42" s="248"/>
      <c r="O42" s="248"/>
      <c r="P42" s="248"/>
      <c r="Q42" s="248"/>
      <c r="R42" s="248"/>
      <c r="S42" s="248"/>
      <c r="T42" s="248"/>
      <c r="U42" s="289">
        <f>MATCH(M42,'Calc.U.Uncertainty'!$A:$A,0)</f>
        <v>275</v>
      </c>
      <c r="V42" s="248"/>
      <c r="W42" s="248"/>
      <c r="X42" s="295" t="s">
        <v>707</v>
      </c>
      <c r="Y42" s="248"/>
      <c r="Z42" s="248"/>
      <c r="AA42" s="248"/>
      <c r="AB42" s="248"/>
      <c r="AC42" s="248"/>
      <c r="AD42" s="248"/>
      <c r="AE42" s="248"/>
      <c r="AF42" s="248"/>
      <c r="AG42" s="248"/>
      <c r="AH42" s="248"/>
      <c r="AI42" s="248"/>
      <c r="AJ42" s="248"/>
      <c r="AK42" s="248"/>
      <c r="AL42" s="248"/>
      <c r="AM42" s="248"/>
      <c r="AN42" s="293">
        <f t="shared" si="3"/>
        <v>85</v>
      </c>
      <c r="AO42" s="248"/>
      <c r="AP42" s="290">
        <f ca="1">OFFSET('Calc.U.Uncertainty'!$A$1,U42-1,AN42-1)</f>
        <v>1.1000000000000001</v>
      </c>
      <c r="AQ42" s="291"/>
      <c r="AR42" s="291"/>
      <c r="AS42" s="291"/>
      <c r="AT42" s="292"/>
      <c r="AU42" s="249"/>
    </row>
    <row r="43" spans="1:47" s="250" customFormat="1" ht="10.199999999999999" hidden="1" outlineLevel="1">
      <c r="A43" s="238"/>
      <c r="B43" s="238"/>
      <c r="D43" s="238"/>
      <c r="E43" s="238"/>
      <c r="F43" s="238"/>
      <c r="G43" s="238"/>
      <c r="H43" s="238"/>
      <c r="I43" s="238"/>
      <c r="J43" s="238"/>
      <c r="K43" s="238"/>
      <c r="L43" s="251"/>
      <c r="M43" s="294" t="str">
        <f t="shared" si="1"/>
        <v>C.A.012</v>
      </c>
      <c r="N43" s="248"/>
      <c r="O43" s="248"/>
      <c r="P43" s="248"/>
      <c r="Q43" s="248"/>
      <c r="R43" s="248"/>
      <c r="S43" s="248"/>
      <c r="T43" s="248"/>
      <c r="U43" s="289">
        <f>MATCH(M43,'Calc.U.Uncertainty'!$A:$A,0)</f>
        <v>276</v>
      </c>
      <c r="V43" s="248"/>
      <c r="W43" s="248"/>
      <c r="X43" s="295" t="s">
        <v>707</v>
      </c>
      <c r="Y43" s="248"/>
      <c r="Z43" s="248"/>
      <c r="AA43" s="248"/>
      <c r="AB43" s="248"/>
      <c r="AC43" s="248"/>
      <c r="AD43" s="248"/>
      <c r="AE43" s="248"/>
      <c r="AF43" s="248"/>
      <c r="AG43" s="248"/>
      <c r="AH43" s="248"/>
      <c r="AI43" s="248"/>
      <c r="AJ43" s="248"/>
      <c r="AK43" s="248"/>
      <c r="AL43" s="248"/>
      <c r="AM43" s="248"/>
      <c r="AN43" s="293">
        <f t="shared" si="3"/>
        <v>85</v>
      </c>
      <c r="AO43" s="248"/>
      <c r="AP43" s="290">
        <f ca="1">OFFSET('Calc.U.Uncertainty'!$A$1,U43-1,AN43-1)</f>
        <v>1.1000000000000001</v>
      </c>
      <c r="AQ43" s="291"/>
      <c r="AR43" s="291"/>
      <c r="AS43" s="291"/>
      <c r="AT43" s="292"/>
      <c r="AU43" s="249"/>
    </row>
    <row r="44" spans="1:47" s="250" customFormat="1" ht="10.199999999999999" hidden="1" outlineLevel="1">
      <c r="A44" s="238"/>
      <c r="B44" s="238"/>
      <c r="D44" s="238"/>
      <c r="E44" s="238"/>
      <c r="F44" s="238"/>
      <c r="G44" s="238"/>
      <c r="H44" s="238"/>
      <c r="I44" s="238"/>
      <c r="J44" s="238"/>
      <c r="K44" s="238"/>
      <c r="L44" s="251"/>
      <c r="M44" s="294" t="str">
        <f>M32</f>
        <v>C.A.001</v>
      </c>
      <c r="N44" s="248"/>
      <c r="O44" s="248"/>
      <c r="P44" s="248"/>
      <c r="Q44" s="248"/>
      <c r="R44" s="248"/>
      <c r="S44" s="248"/>
      <c r="T44" s="248"/>
      <c r="U44" s="293">
        <f>U32</f>
        <v>265</v>
      </c>
      <c r="V44" s="248"/>
      <c r="W44" s="248"/>
      <c r="X44" s="288" t="s">
        <v>710</v>
      </c>
      <c r="Y44" s="248"/>
      <c r="Z44" s="248"/>
      <c r="AA44" s="248"/>
      <c r="AB44" s="248"/>
      <c r="AC44" s="248"/>
      <c r="AD44" s="248"/>
      <c r="AE44" s="248"/>
      <c r="AF44" s="248"/>
      <c r="AG44" s="248"/>
      <c r="AH44" s="248"/>
      <c r="AI44" s="248"/>
      <c r="AJ44" s="248"/>
      <c r="AK44" s="248"/>
      <c r="AL44" s="248"/>
      <c r="AM44" s="248"/>
      <c r="AN44" s="289">
        <f>MATCH(X44,'Calc.U.Uncertainty'!$1:$1,0)</f>
        <v>86</v>
      </c>
      <c r="AO44" s="248"/>
      <c r="AP44" s="290">
        <f ca="1">OFFSET('Calc.U.Uncertainty'!$A$1,U44-1,AN44-1)</f>
        <v>0</v>
      </c>
      <c r="AQ44" s="291"/>
      <c r="AR44" s="291"/>
      <c r="AS44" s="291"/>
      <c r="AT44" s="292"/>
      <c r="AU44" s="249"/>
    </row>
    <row r="45" spans="1:47" s="250" customFormat="1" ht="10.199999999999999" hidden="1" outlineLevel="1">
      <c r="A45" s="238"/>
      <c r="B45" s="238"/>
      <c r="D45" s="238"/>
      <c r="E45" s="238"/>
      <c r="F45" s="238"/>
      <c r="G45" s="238"/>
      <c r="H45" s="238"/>
      <c r="I45" s="238"/>
      <c r="J45" s="238"/>
      <c r="K45" s="238"/>
      <c r="L45" s="251"/>
      <c r="M45" s="294" t="str">
        <f t="shared" ref="M45:M120" si="4">M33</f>
        <v>C.A.002</v>
      </c>
      <c r="N45" s="248"/>
      <c r="O45" s="248"/>
      <c r="P45" s="248"/>
      <c r="Q45" s="248"/>
      <c r="R45" s="248"/>
      <c r="S45" s="248"/>
      <c r="T45" s="248"/>
      <c r="U45" s="293">
        <f t="shared" ref="U45:U120" si="5">U33</f>
        <v>266</v>
      </c>
      <c r="V45" s="248"/>
      <c r="W45" s="248"/>
      <c r="X45" s="295" t="s">
        <v>710</v>
      </c>
      <c r="Y45" s="248"/>
      <c r="Z45" s="248"/>
      <c r="AA45" s="248"/>
      <c r="AB45" s="248"/>
      <c r="AC45" s="248"/>
      <c r="AD45" s="248"/>
      <c r="AE45" s="248"/>
      <c r="AF45" s="248"/>
      <c r="AG45" s="248"/>
      <c r="AH45" s="248"/>
      <c r="AI45" s="248"/>
      <c r="AJ45" s="248"/>
      <c r="AK45" s="248"/>
      <c r="AL45" s="248"/>
      <c r="AM45" s="248"/>
      <c r="AN45" s="293">
        <f t="shared" ref="AN45:AN67" si="6">AN44</f>
        <v>86</v>
      </c>
      <c r="AO45" s="248"/>
      <c r="AP45" s="290">
        <f ca="1">OFFSET('Calc.U.Uncertainty'!$A$1,U45-1,AN45-1)</f>
        <v>0</v>
      </c>
      <c r="AQ45" s="291"/>
      <c r="AR45" s="291"/>
      <c r="AS45" s="291"/>
      <c r="AT45" s="292"/>
      <c r="AU45" s="249"/>
    </row>
    <row r="46" spans="1:47" s="250" customFormat="1" ht="10.199999999999999" hidden="1" outlineLevel="1">
      <c r="A46" s="238"/>
      <c r="B46" s="238"/>
      <c r="D46" s="238"/>
      <c r="E46" s="238"/>
      <c r="F46" s="238"/>
      <c r="G46" s="238"/>
      <c r="H46" s="238"/>
      <c r="I46" s="238"/>
      <c r="J46" s="238"/>
      <c r="K46" s="238"/>
      <c r="L46" s="251"/>
      <c r="M46" s="294" t="str">
        <f t="shared" si="4"/>
        <v>C.A.003</v>
      </c>
      <c r="N46" s="248"/>
      <c r="O46" s="248"/>
      <c r="P46" s="248"/>
      <c r="Q46" s="248"/>
      <c r="R46" s="248"/>
      <c r="S46" s="248"/>
      <c r="T46" s="248"/>
      <c r="U46" s="293">
        <f t="shared" si="5"/>
        <v>267</v>
      </c>
      <c r="V46" s="248"/>
      <c r="W46" s="248"/>
      <c r="X46" s="295" t="s">
        <v>710</v>
      </c>
      <c r="Y46" s="248"/>
      <c r="Z46" s="248"/>
      <c r="AA46" s="248"/>
      <c r="AB46" s="248"/>
      <c r="AC46" s="248"/>
      <c r="AD46" s="248"/>
      <c r="AE46" s="248"/>
      <c r="AF46" s="248"/>
      <c r="AG46" s="248"/>
      <c r="AH46" s="248"/>
      <c r="AI46" s="248"/>
      <c r="AJ46" s="248"/>
      <c r="AK46" s="248"/>
      <c r="AL46" s="248"/>
      <c r="AM46" s="248"/>
      <c r="AN46" s="293">
        <f t="shared" si="6"/>
        <v>86</v>
      </c>
      <c r="AO46" s="248"/>
      <c r="AP46" s="290">
        <f ca="1">OFFSET('Calc.U.Uncertainty'!$A$1,U46-1,AN46-1)</f>
        <v>0</v>
      </c>
      <c r="AQ46" s="291"/>
      <c r="AR46" s="291"/>
      <c r="AS46" s="291"/>
      <c r="AT46" s="292"/>
      <c r="AU46" s="249"/>
    </row>
    <row r="47" spans="1:47" s="250" customFormat="1" ht="10.199999999999999" hidden="1" outlineLevel="1">
      <c r="A47" s="238"/>
      <c r="B47" s="238"/>
      <c r="D47" s="238"/>
      <c r="E47" s="238"/>
      <c r="F47" s="238"/>
      <c r="G47" s="238"/>
      <c r="H47" s="238"/>
      <c r="I47" s="238"/>
      <c r="J47" s="238"/>
      <c r="K47" s="238"/>
      <c r="L47" s="251"/>
      <c r="M47" s="294" t="str">
        <f t="shared" si="4"/>
        <v>C.A.004</v>
      </c>
      <c r="N47" s="248"/>
      <c r="O47" s="248"/>
      <c r="P47" s="248"/>
      <c r="Q47" s="248"/>
      <c r="R47" s="248"/>
      <c r="S47" s="248"/>
      <c r="T47" s="248"/>
      <c r="U47" s="293">
        <f t="shared" si="5"/>
        <v>268</v>
      </c>
      <c r="V47" s="248"/>
      <c r="W47" s="248"/>
      <c r="X47" s="295" t="s">
        <v>710</v>
      </c>
      <c r="Y47" s="248"/>
      <c r="Z47" s="248"/>
      <c r="AA47" s="248"/>
      <c r="AB47" s="248"/>
      <c r="AC47" s="248"/>
      <c r="AD47" s="248"/>
      <c r="AE47" s="248"/>
      <c r="AF47" s="248"/>
      <c r="AG47" s="248"/>
      <c r="AH47" s="248"/>
      <c r="AI47" s="248"/>
      <c r="AJ47" s="248"/>
      <c r="AK47" s="248"/>
      <c r="AL47" s="248"/>
      <c r="AM47" s="248"/>
      <c r="AN47" s="293">
        <f t="shared" si="6"/>
        <v>86</v>
      </c>
      <c r="AO47" s="248"/>
      <c r="AP47" s="290">
        <f ca="1">OFFSET('Calc.U.Uncertainty'!$A$1,U47-1,AN47-1)</f>
        <v>1</v>
      </c>
      <c r="AQ47" s="291"/>
      <c r="AR47" s="291"/>
      <c r="AS47" s="291"/>
      <c r="AT47" s="292"/>
      <c r="AU47" s="249"/>
    </row>
    <row r="48" spans="1:47" s="250" customFormat="1" ht="10.199999999999999" hidden="1" outlineLevel="1">
      <c r="A48" s="238"/>
      <c r="B48" s="238"/>
      <c r="D48" s="238"/>
      <c r="E48" s="238"/>
      <c r="F48" s="238"/>
      <c r="G48" s="238"/>
      <c r="H48" s="238"/>
      <c r="I48" s="238"/>
      <c r="J48" s="238"/>
      <c r="K48" s="238"/>
      <c r="L48" s="251"/>
      <c r="M48" s="294" t="str">
        <f t="shared" si="4"/>
        <v>C.A.005</v>
      </c>
      <c r="N48" s="248"/>
      <c r="O48" s="248"/>
      <c r="P48" s="248"/>
      <c r="Q48" s="248"/>
      <c r="R48" s="248"/>
      <c r="S48" s="248"/>
      <c r="T48" s="248"/>
      <c r="U48" s="293">
        <f t="shared" si="5"/>
        <v>269</v>
      </c>
      <c r="V48" s="248"/>
      <c r="W48" s="248"/>
      <c r="X48" s="295" t="s">
        <v>710</v>
      </c>
      <c r="Y48" s="248"/>
      <c r="Z48" s="248"/>
      <c r="AA48" s="248"/>
      <c r="AB48" s="248"/>
      <c r="AC48" s="248"/>
      <c r="AD48" s="248"/>
      <c r="AE48" s="248"/>
      <c r="AF48" s="248"/>
      <c r="AG48" s="248"/>
      <c r="AH48" s="248"/>
      <c r="AI48" s="248"/>
      <c r="AJ48" s="248"/>
      <c r="AK48" s="248"/>
      <c r="AL48" s="248"/>
      <c r="AM48" s="248"/>
      <c r="AN48" s="293">
        <f t="shared" si="6"/>
        <v>86</v>
      </c>
      <c r="AO48" s="248"/>
      <c r="AP48" s="290">
        <f ca="1">OFFSET('Calc.U.Uncertainty'!$A$1,U48-1,AN48-1)</f>
        <v>1</v>
      </c>
      <c r="AQ48" s="291"/>
      <c r="AR48" s="291"/>
      <c r="AS48" s="291"/>
      <c r="AT48" s="292"/>
      <c r="AU48" s="249"/>
    </row>
    <row r="49" spans="1:47" s="250" customFormat="1" ht="10.199999999999999" hidden="1" outlineLevel="1">
      <c r="A49" s="238"/>
      <c r="B49" s="238"/>
      <c r="D49" s="238"/>
      <c r="E49" s="238"/>
      <c r="F49" s="238"/>
      <c r="G49" s="238"/>
      <c r="H49" s="238"/>
      <c r="I49" s="238"/>
      <c r="J49" s="238"/>
      <c r="K49" s="238"/>
      <c r="L49" s="251"/>
      <c r="M49" s="294" t="str">
        <f t="shared" si="4"/>
        <v>C.A.006</v>
      </c>
      <c r="N49" s="248"/>
      <c r="O49" s="248"/>
      <c r="P49" s="248"/>
      <c r="Q49" s="248"/>
      <c r="R49" s="248"/>
      <c r="S49" s="248"/>
      <c r="T49" s="248"/>
      <c r="U49" s="293">
        <f t="shared" si="5"/>
        <v>270</v>
      </c>
      <c r="V49" s="248"/>
      <c r="W49" s="248"/>
      <c r="X49" s="295" t="s">
        <v>710</v>
      </c>
      <c r="Y49" s="248"/>
      <c r="Z49" s="248"/>
      <c r="AA49" s="248"/>
      <c r="AB49" s="248"/>
      <c r="AC49" s="248"/>
      <c r="AD49" s="248"/>
      <c r="AE49" s="248"/>
      <c r="AF49" s="248"/>
      <c r="AG49" s="248"/>
      <c r="AH49" s="248"/>
      <c r="AI49" s="248"/>
      <c r="AJ49" s="248"/>
      <c r="AK49" s="248"/>
      <c r="AL49" s="248"/>
      <c r="AM49" s="248"/>
      <c r="AN49" s="293">
        <f t="shared" si="6"/>
        <v>86</v>
      </c>
      <c r="AO49" s="248"/>
      <c r="AP49" s="290">
        <f ca="1">OFFSET('Calc.U.Uncertainty'!$A$1,U49-1,AN49-1)</f>
        <v>1</v>
      </c>
      <c r="AQ49" s="291"/>
      <c r="AR49" s="291"/>
      <c r="AS49" s="291"/>
      <c r="AT49" s="292"/>
      <c r="AU49" s="249"/>
    </row>
    <row r="50" spans="1:47" s="250" customFormat="1" ht="10.199999999999999" hidden="1" outlineLevel="1">
      <c r="A50" s="238"/>
      <c r="B50" s="238"/>
      <c r="D50" s="238"/>
      <c r="E50" s="238"/>
      <c r="F50" s="238"/>
      <c r="G50" s="238"/>
      <c r="H50" s="238"/>
      <c r="I50" s="238"/>
      <c r="J50" s="238"/>
      <c r="K50" s="238"/>
      <c r="L50" s="251"/>
      <c r="M50" s="294" t="str">
        <f t="shared" si="4"/>
        <v>C.A.007</v>
      </c>
      <c r="N50" s="248"/>
      <c r="O50" s="248"/>
      <c r="P50" s="248"/>
      <c r="Q50" s="248"/>
      <c r="R50" s="248"/>
      <c r="S50" s="248"/>
      <c r="T50" s="248"/>
      <c r="U50" s="293">
        <f t="shared" si="5"/>
        <v>271</v>
      </c>
      <c r="V50" s="248"/>
      <c r="W50" s="248"/>
      <c r="X50" s="295" t="s">
        <v>710</v>
      </c>
      <c r="Y50" s="248"/>
      <c r="Z50" s="248"/>
      <c r="AA50" s="248"/>
      <c r="AB50" s="248"/>
      <c r="AC50" s="248"/>
      <c r="AD50" s="248"/>
      <c r="AE50" s="248"/>
      <c r="AF50" s="248"/>
      <c r="AG50" s="248"/>
      <c r="AH50" s="248"/>
      <c r="AI50" s="248"/>
      <c r="AJ50" s="248"/>
      <c r="AK50" s="248"/>
      <c r="AL50" s="248"/>
      <c r="AM50" s="248"/>
      <c r="AN50" s="293">
        <f t="shared" si="6"/>
        <v>86</v>
      </c>
      <c r="AO50" s="248"/>
      <c r="AP50" s="290">
        <f ca="1">OFFSET('Calc.U.Uncertainty'!$A$1,U50-1,AN50-1)</f>
        <v>1</v>
      </c>
      <c r="AQ50" s="291"/>
      <c r="AR50" s="291"/>
      <c r="AS50" s="291"/>
      <c r="AT50" s="292"/>
      <c r="AU50" s="249"/>
    </row>
    <row r="51" spans="1:47" s="250" customFormat="1" ht="10.199999999999999" hidden="1" outlineLevel="1">
      <c r="A51" s="238"/>
      <c r="B51" s="238"/>
      <c r="D51" s="238"/>
      <c r="E51" s="238"/>
      <c r="F51" s="238"/>
      <c r="G51" s="238"/>
      <c r="H51" s="238"/>
      <c r="I51" s="238"/>
      <c r="J51" s="238"/>
      <c r="K51" s="238"/>
      <c r="L51" s="251"/>
      <c r="M51" s="294" t="str">
        <f t="shared" si="4"/>
        <v>C.A.008</v>
      </c>
      <c r="N51" s="248"/>
      <c r="O51" s="248"/>
      <c r="P51" s="248"/>
      <c r="Q51" s="248"/>
      <c r="R51" s="248"/>
      <c r="S51" s="248"/>
      <c r="T51" s="248"/>
      <c r="U51" s="293">
        <f t="shared" si="5"/>
        <v>272</v>
      </c>
      <c r="V51" s="248"/>
      <c r="W51" s="248"/>
      <c r="X51" s="295" t="s">
        <v>710</v>
      </c>
      <c r="Y51" s="248"/>
      <c r="Z51" s="248"/>
      <c r="AA51" s="248"/>
      <c r="AB51" s="248"/>
      <c r="AC51" s="248"/>
      <c r="AD51" s="248"/>
      <c r="AE51" s="248"/>
      <c r="AF51" s="248"/>
      <c r="AG51" s="248"/>
      <c r="AH51" s="248"/>
      <c r="AI51" s="248"/>
      <c r="AJ51" s="248"/>
      <c r="AK51" s="248"/>
      <c r="AL51" s="248"/>
      <c r="AM51" s="248"/>
      <c r="AN51" s="293">
        <f t="shared" si="6"/>
        <v>86</v>
      </c>
      <c r="AO51" s="248"/>
      <c r="AP51" s="290">
        <f ca="1">OFFSET('Calc.U.Uncertainty'!$A$1,U51-1,AN51-1)</f>
        <v>0.5</v>
      </c>
      <c r="AQ51" s="291"/>
      <c r="AR51" s="291"/>
      <c r="AS51" s="291"/>
      <c r="AT51" s="292"/>
      <c r="AU51" s="249"/>
    </row>
    <row r="52" spans="1:47" s="250" customFormat="1" ht="10.199999999999999" hidden="1" outlineLevel="1">
      <c r="A52" s="238"/>
      <c r="B52" s="238"/>
      <c r="D52" s="238"/>
      <c r="E52" s="238"/>
      <c r="F52" s="238"/>
      <c r="G52" s="238"/>
      <c r="H52" s="238"/>
      <c r="I52" s="238"/>
      <c r="J52" s="238"/>
      <c r="K52" s="238"/>
      <c r="L52" s="251"/>
      <c r="M52" s="294" t="str">
        <f t="shared" si="4"/>
        <v>C.A.009</v>
      </c>
      <c r="N52" s="248"/>
      <c r="O52" s="248"/>
      <c r="P52" s="248"/>
      <c r="Q52" s="248"/>
      <c r="R52" s="248"/>
      <c r="S52" s="248"/>
      <c r="T52" s="248"/>
      <c r="U52" s="293">
        <f t="shared" si="5"/>
        <v>273</v>
      </c>
      <c r="V52" s="248"/>
      <c r="W52" s="248"/>
      <c r="X52" s="295" t="s">
        <v>710</v>
      </c>
      <c r="Y52" s="248"/>
      <c r="Z52" s="248"/>
      <c r="AA52" s="248"/>
      <c r="AB52" s="248"/>
      <c r="AC52" s="248"/>
      <c r="AD52" s="248"/>
      <c r="AE52" s="248"/>
      <c r="AF52" s="248"/>
      <c r="AG52" s="248"/>
      <c r="AH52" s="248"/>
      <c r="AI52" s="248"/>
      <c r="AJ52" s="248"/>
      <c r="AK52" s="248"/>
      <c r="AL52" s="248"/>
      <c r="AM52" s="248"/>
      <c r="AN52" s="293">
        <f t="shared" si="6"/>
        <v>86</v>
      </c>
      <c r="AO52" s="248"/>
      <c r="AP52" s="290">
        <f ca="1">OFFSET('Calc.U.Uncertainty'!$A$1,U52-1,AN52-1)</f>
        <v>1</v>
      </c>
      <c r="AQ52" s="291"/>
      <c r="AR52" s="291"/>
      <c r="AS52" s="291"/>
      <c r="AT52" s="292"/>
      <c r="AU52" s="249"/>
    </row>
    <row r="53" spans="1:47" s="250" customFormat="1" ht="10.199999999999999" hidden="1" outlineLevel="1">
      <c r="A53" s="238"/>
      <c r="B53" s="238"/>
      <c r="D53" s="238"/>
      <c r="E53" s="238"/>
      <c r="F53" s="238"/>
      <c r="G53" s="238"/>
      <c r="H53" s="238"/>
      <c r="I53" s="238"/>
      <c r="J53" s="238"/>
      <c r="K53" s="238"/>
      <c r="L53" s="251"/>
      <c r="M53" s="294" t="str">
        <f t="shared" si="4"/>
        <v>C.A.010</v>
      </c>
      <c r="N53" s="248"/>
      <c r="O53" s="248"/>
      <c r="P53" s="248"/>
      <c r="Q53" s="248"/>
      <c r="R53" s="248"/>
      <c r="S53" s="248"/>
      <c r="T53" s="248"/>
      <c r="U53" s="293">
        <f t="shared" si="5"/>
        <v>274</v>
      </c>
      <c r="V53" s="248"/>
      <c r="W53" s="248"/>
      <c r="X53" s="295" t="s">
        <v>710</v>
      </c>
      <c r="Y53" s="248"/>
      <c r="Z53" s="248"/>
      <c r="AA53" s="248"/>
      <c r="AB53" s="248"/>
      <c r="AC53" s="248"/>
      <c r="AD53" s="248"/>
      <c r="AE53" s="248"/>
      <c r="AF53" s="248"/>
      <c r="AG53" s="248"/>
      <c r="AH53" s="248"/>
      <c r="AI53" s="248"/>
      <c r="AJ53" s="248"/>
      <c r="AK53" s="248"/>
      <c r="AL53" s="248"/>
      <c r="AM53" s="248"/>
      <c r="AN53" s="293">
        <f t="shared" si="6"/>
        <v>86</v>
      </c>
      <c r="AO53" s="248"/>
      <c r="AP53" s="290">
        <f ca="1">OFFSET('Calc.U.Uncertainty'!$A$1,U53-1,AN53-1)</f>
        <v>0.62</v>
      </c>
      <c r="AQ53" s="291"/>
      <c r="AR53" s="291"/>
      <c r="AS53" s="291"/>
      <c r="AT53" s="292"/>
      <c r="AU53" s="249"/>
    </row>
    <row r="54" spans="1:47" s="250" customFormat="1" ht="10.199999999999999" hidden="1" outlineLevel="1">
      <c r="A54" s="238"/>
      <c r="B54" s="238"/>
      <c r="D54" s="238"/>
      <c r="E54" s="238"/>
      <c r="F54" s="238"/>
      <c r="G54" s="238"/>
      <c r="H54" s="238"/>
      <c r="I54" s="238"/>
      <c r="J54" s="238"/>
      <c r="K54" s="238"/>
      <c r="L54" s="251"/>
      <c r="M54" s="294" t="str">
        <f t="shared" si="4"/>
        <v>C.A.011</v>
      </c>
      <c r="N54" s="248"/>
      <c r="O54" s="248"/>
      <c r="P54" s="248"/>
      <c r="Q54" s="248"/>
      <c r="R54" s="248"/>
      <c r="S54" s="248"/>
      <c r="T54" s="248"/>
      <c r="U54" s="293">
        <f t="shared" si="5"/>
        <v>275</v>
      </c>
      <c r="V54" s="248"/>
      <c r="W54" s="248"/>
      <c r="X54" s="295" t="s">
        <v>710</v>
      </c>
      <c r="Y54" s="248"/>
      <c r="Z54" s="248"/>
      <c r="AA54" s="248"/>
      <c r="AB54" s="248"/>
      <c r="AC54" s="248"/>
      <c r="AD54" s="248"/>
      <c r="AE54" s="248"/>
      <c r="AF54" s="248"/>
      <c r="AG54" s="248"/>
      <c r="AH54" s="248"/>
      <c r="AI54" s="248"/>
      <c r="AJ54" s="248"/>
      <c r="AK54" s="248"/>
      <c r="AL54" s="248"/>
      <c r="AM54" s="248"/>
      <c r="AN54" s="293">
        <f t="shared" si="6"/>
        <v>86</v>
      </c>
      <c r="AO54" s="248"/>
      <c r="AP54" s="290">
        <f ca="1">OFFSET('Calc.U.Uncertainty'!$A$1,U54-1,AN54-1)</f>
        <v>0.9</v>
      </c>
      <c r="AQ54" s="291"/>
      <c r="AR54" s="291"/>
      <c r="AS54" s="291"/>
      <c r="AT54" s="292"/>
      <c r="AU54" s="249"/>
    </row>
    <row r="55" spans="1:47" s="250" customFormat="1" ht="10.199999999999999" hidden="1" outlineLevel="1">
      <c r="A55" s="238"/>
      <c r="B55" s="238"/>
      <c r="D55" s="238"/>
      <c r="E55" s="238"/>
      <c r="F55" s="238"/>
      <c r="G55" s="238"/>
      <c r="H55" s="238"/>
      <c r="I55" s="238"/>
      <c r="J55" s="238"/>
      <c r="K55" s="238"/>
      <c r="L55" s="251"/>
      <c r="M55" s="294" t="str">
        <f t="shared" si="4"/>
        <v>C.A.012</v>
      </c>
      <c r="N55" s="248"/>
      <c r="O55" s="248"/>
      <c r="P55" s="248"/>
      <c r="Q55" s="248"/>
      <c r="R55" s="248"/>
      <c r="S55" s="248"/>
      <c r="T55" s="248"/>
      <c r="U55" s="293">
        <f t="shared" si="5"/>
        <v>276</v>
      </c>
      <c r="V55" s="248"/>
      <c r="W55" s="248"/>
      <c r="X55" s="295" t="s">
        <v>710</v>
      </c>
      <c r="Y55" s="248"/>
      <c r="Z55" s="248"/>
      <c r="AA55" s="248"/>
      <c r="AB55" s="248"/>
      <c r="AC55" s="248"/>
      <c r="AD55" s="248"/>
      <c r="AE55" s="248"/>
      <c r="AF55" s="248"/>
      <c r="AG55" s="248"/>
      <c r="AH55" s="248"/>
      <c r="AI55" s="248"/>
      <c r="AJ55" s="248"/>
      <c r="AK55" s="248"/>
      <c r="AL55" s="248"/>
      <c r="AM55" s="248"/>
      <c r="AN55" s="293">
        <f t="shared" si="6"/>
        <v>86</v>
      </c>
      <c r="AO55" s="248"/>
      <c r="AP55" s="290">
        <f ca="1">OFFSET('Calc.U.Uncertainty'!$A$1,U55-1,AN55-1)</f>
        <v>0.9</v>
      </c>
      <c r="AQ55" s="291"/>
      <c r="AR55" s="291"/>
      <c r="AS55" s="291"/>
      <c r="AT55" s="292"/>
      <c r="AU55" s="249"/>
    </row>
    <row r="56" spans="1:47" s="250" customFormat="1" ht="10.199999999999999" hidden="1" outlineLevel="1">
      <c r="A56" s="238"/>
      <c r="B56" s="238"/>
      <c r="D56" s="238"/>
      <c r="E56" s="238"/>
      <c r="F56" s="238"/>
      <c r="G56" s="238"/>
      <c r="H56" s="238"/>
      <c r="I56" s="238"/>
      <c r="J56" s="238"/>
      <c r="K56" s="238"/>
      <c r="L56" s="251"/>
      <c r="M56" s="294" t="str">
        <f t="shared" si="4"/>
        <v>C.A.001</v>
      </c>
      <c r="N56" s="248"/>
      <c r="O56" s="248"/>
      <c r="P56" s="248"/>
      <c r="Q56" s="248"/>
      <c r="R56" s="248"/>
      <c r="S56" s="248"/>
      <c r="T56" s="248"/>
      <c r="U56" s="293">
        <f t="shared" si="5"/>
        <v>265</v>
      </c>
      <c r="V56" s="248"/>
      <c r="W56" s="248"/>
      <c r="X56" s="288" t="s">
        <v>708</v>
      </c>
      <c r="Y56" s="248"/>
      <c r="Z56" s="248"/>
      <c r="AA56" s="248"/>
      <c r="AB56" s="248"/>
      <c r="AC56" s="248"/>
      <c r="AD56" s="248"/>
      <c r="AE56" s="248"/>
      <c r="AF56" s="248"/>
      <c r="AG56" s="248"/>
      <c r="AH56" s="248"/>
      <c r="AI56" s="248"/>
      <c r="AJ56" s="248"/>
      <c r="AK56" s="248"/>
      <c r="AL56" s="248"/>
      <c r="AM56" s="248"/>
      <c r="AN56" s="289">
        <f>MATCH(X56,'Calc.U.Uncertainty'!$1:$1,0)</f>
        <v>87</v>
      </c>
      <c r="AO56" s="248"/>
      <c r="AP56" s="296">
        <f ca="1">OFFSET('Calc.U.Uncertainty'!$A$1,U56-1,AN56-1)/100</f>
        <v>0</v>
      </c>
      <c r="AQ56" s="297"/>
      <c r="AR56" s="297"/>
      <c r="AS56" s="297"/>
      <c r="AT56" s="298"/>
      <c r="AU56" s="249"/>
    </row>
    <row r="57" spans="1:47" s="250" customFormat="1" ht="10.199999999999999" hidden="1" outlineLevel="1">
      <c r="A57" s="238"/>
      <c r="B57" s="238"/>
      <c r="D57" s="238"/>
      <c r="E57" s="238"/>
      <c r="F57" s="238"/>
      <c r="G57" s="238"/>
      <c r="H57" s="238"/>
      <c r="I57" s="238"/>
      <c r="J57" s="238"/>
      <c r="K57" s="238"/>
      <c r="L57" s="251"/>
      <c r="M57" s="294" t="str">
        <f t="shared" si="4"/>
        <v>C.A.002</v>
      </c>
      <c r="N57" s="248"/>
      <c r="O57" s="248"/>
      <c r="P57" s="248"/>
      <c r="Q57" s="248"/>
      <c r="R57" s="248"/>
      <c r="S57" s="248"/>
      <c r="T57" s="248"/>
      <c r="U57" s="293">
        <f t="shared" si="5"/>
        <v>266</v>
      </c>
      <c r="V57" s="248"/>
      <c r="W57" s="248"/>
      <c r="X57" s="295" t="s">
        <v>708</v>
      </c>
      <c r="Y57" s="248"/>
      <c r="Z57" s="248"/>
      <c r="AA57" s="248"/>
      <c r="AB57" s="248"/>
      <c r="AC57" s="248"/>
      <c r="AD57" s="248"/>
      <c r="AE57" s="248"/>
      <c r="AF57" s="248"/>
      <c r="AG57" s="248"/>
      <c r="AH57" s="248"/>
      <c r="AI57" s="248"/>
      <c r="AJ57" s="248"/>
      <c r="AK57" s="248"/>
      <c r="AL57" s="248"/>
      <c r="AM57" s="248"/>
      <c r="AN57" s="293">
        <f t="shared" ref="AN57:AN79" si="7">AN56</f>
        <v>87</v>
      </c>
      <c r="AO57" s="248"/>
      <c r="AP57" s="296">
        <f ca="1">OFFSET('Calc.U.Uncertainty'!$A$1,U57-1,AN57-1)/100</f>
        <v>0</v>
      </c>
      <c r="AQ57" s="297"/>
      <c r="AR57" s="297"/>
      <c r="AS57" s="297"/>
      <c r="AT57" s="298"/>
      <c r="AU57" s="249"/>
    </row>
    <row r="58" spans="1:47" s="250" customFormat="1" ht="10.199999999999999" hidden="1" outlineLevel="1">
      <c r="A58" s="238"/>
      <c r="B58" s="238"/>
      <c r="D58" s="238"/>
      <c r="E58" s="238"/>
      <c r="F58" s="238"/>
      <c r="G58" s="238"/>
      <c r="H58" s="238"/>
      <c r="I58" s="238"/>
      <c r="J58" s="238"/>
      <c r="K58" s="238"/>
      <c r="L58" s="251"/>
      <c r="M58" s="294" t="str">
        <f t="shared" si="4"/>
        <v>C.A.003</v>
      </c>
      <c r="N58" s="248"/>
      <c r="O58" s="248"/>
      <c r="P58" s="248"/>
      <c r="Q58" s="248"/>
      <c r="R58" s="248"/>
      <c r="S58" s="248"/>
      <c r="T58" s="248"/>
      <c r="U58" s="293">
        <f t="shared" si="5"/>
        <v>267</v>
      </c>
      <c r="V58" s="248"/>
      <c r="W58" s="248"/>
      <c r="X58" s="295" t="s">
        <v>708</v>
      </c>
      <c r="Y58" s="248"/>
      <c r="Z58" s="248"/>
      <c r="AA58" s="248"/>
      <c r="AB58" s="248"/>
      <c r="AC58" s="248"/>
      <c r="AD58" s="248"/>
      <c r="AE58" s="248"/>
      <c r="AF58" s="248"/>
      <c r="AG58" s="248"/>
      <c r="AH58" s="248"/>
      <c r="AI58" s="248"/>
      <c r="AJ58" s="248"/>
      <c r="AK58" s="248"/>
      <c r="AL58" s="248"/>
      <c r="AM58" s="248"/>
      <c r="AN58" s="293">
        <f t="shared" si="6"/>
        <v>87</v>
      </c>
      <c r="AO58" s="248"/>
      <c r="AP58" s="296">
        <f ca="1">OFFSET('Calc.U.Uncertainty'!$A$1,U58-1,AN58-1)/100</f>
        <v>0</v>
      </c>
      <c r="AQ58" s="297"/>
      <c r="AR58" s="297"/>
      <c r="AS58" s="297"/>
      <c r="AT58" s="298"/>
      <c r="AU58" s="249"/>
    </row>
    <row r="59" spans="1:47" s="250" customFormat="1" ht="10.199999999999999" hidden="1" outlineLevel="1">
      <c r="A59" s="238"/>
      <c r="B59" s="238"/>
      <c r="D59" s="238"/>
      <c r="E59" s="238"/>
      <c r="F59" s="238"/>
      <c r="G59" s="238"/>
      <c r="H59" s="238"/>
      <c r="I59" s="238"/>
      <c r="J59" s="238"/>
      <c r="K59" s="238"/>
      <c r="L59" s="251"/>
      <c r="M59" s="294" t="str">
        <f t="shared" si="4"/>
        <v>C.A.004</v>
      </c>
      <c r="N59" s="248"/>
      <c r="O59" s="248"/>
      <c r="P59" s="248"/>
      <c r="Q59" s="248"/>
      <c r="R59" s="248"/>
      <c r="S59" s="248"/>
      <c r="T59" s="248"/>
      <c r="U59" s="293">
        <f t="shared" si="5"/>
        <v>268</v>
      </c>
      <c r="V59" s="248"/>
      <c r="W59" s="248"/>
      <c r="X59" s="295" t="s">
        <v>708</v>
      </c>
      <c r="Y59" s="248"/>
      <c r="Z59" s="248"/>
      <c r="AA59" s="248"/>
      <c r="AB59" s="248"/>
      <c r="AC59" s="248"/>
      <c r="AD59" s="248"/>
      <c r="AE59" s="248"/>
      <c r="AF59" s="248"/>
      <c r="AG59" s="248"/>
      <c r="AH59" s="248"/>
      <c r="AI59" s="248"/>
      <c r="AJ59" s="248"/>
      <c r="AK59" s="248"/>
      <c r="AL59" s="248"/>
      <c r="AM59" s="248"/>
      <c r="AN59" s="293">
        <f t="shared" si="6"/>
        <v>87</v>
      </c>
      <c r="AO59" s="248"/>
      <c r="AP59" s="296">
        <f ca="1">OFFSET('Calc.U.Uncertainty'!$A$1,U59-1,AN59-1)/100</f>
        <v>0.04</v>
      </c>
      <c r="AQ59" s="297"/>
      <c r="AR59" s="297"/>
      <c r="AS59" s="297"/>
      <c r="AT59" s="298"/>
      <c r="AU59" s="249"/>
    </row>
    <row r="60" spans="1:47" s="250" customFormat="1" ht="10.199999999999999" hidden="1" outlineLevel="1">
      <c r="A60" s="238"/>
      <c r="B60" s="238"/>
      <c r="D60" s="238"/>
      <c r="E60" s="238"/>
      <c r="F60" s="238"/>
      <c r="G60" s="238"/>
      <c r="H60" s="238"/>
      <c r="I60" s="238"/>
      <c r="J60" s="238"/>
      <c r="K60" s="238"/>
      <c r="L60" s="251"/>
      <c r="M60" s="294" t="str">
        <f t="shared" si="4"/>
        <v>C.A.005</v>
      </c>
      <c r="N60" s="248"/>
      <c r="O60" s="248"/>
      <c r="P60" s="248"/>
      <c r="Q60" s="248"/>
      <c r="R60" s="248"/>
      <c r="S60" s="248"/>
      <c r="T60" s="248"/>
      <c r="U60" s="293">
        <f t="shared" si="5"/>
        <v>269</v>
      </c>
      <c r="V60" s="248"/>
      <c r="W60" s="248"/>
      <c r="X60" s="295" t="s">
        <v>708</v>
      </c>
      <c r="Y60" s="248"/>
      <c r="Z60" s="248"/>
      <c r="AA60" s="248"/>
      <c r="AB60" s="248"/>
      <c r="AC60" s="248"/>
      <c r="AD60" s="248"/>
      <c r="AE60" s="248"/>
      <c r="AF60" s="248"/>
      <c r="AG60" s="248"/>
      <c r="AH60" s="248"/>
      <c r="AI60" s="248"/>
      <c r="AJ60" s="248"/>
      <c r="AK60" s="248"/>
      <c r="AL60" s="248"/>
      <c r="AM60" s="248"/>
      <c r="AN60" s="293">
        <f t="shared" si="6"/>
        <v>87</v>
      </c>
      <c r="AO60" s="248"/>
      <c r="AP60" s="296">
        <f ca="1">OFFSET('Calc.U.Uncertainty'!$A$1,U60-1,AN60-1)/100</f>
        <v>0.16</v>
      </c>
      <c r="AQ60" s="297"/>
      <c r="AR60" s="297"/>
      <c r="AS60" s="297"/>
      <c r="AT60" s="298"/>
      <c r="AU60" s="249"/>
    </row>
    <row r="61" spans="1:47" s="250" customFormat="1" ht="10.199999999999999" hidden="1" outlineLevel="1">
      <c r="A61" s="238"/>
      <c r="B61" s="238"/>
      <c r="D61" s="238"/>
      <c r="E61" s="238"/>
      <c r="F61" s="238"/>
      <c r="G61" s="238"/>
      <c r="H61" s="238"/>
      <c r="I61" s="238"/>
      <c r="J61" s="238"/>
      <c r="K61" s="238"/>
      <c r="L61" s="251"/>
      <c r="M61" s="294" t="str">
        <f t="shared" si="4"/>
        <v>C.A.006</v>
      </c>
      <c r="N61" s="248"/>
      <c r="O61" s="248"/>
      <c r="P61" s="248"/>
      <c r="Q61" s="248"/>
      <c r="R61" s="248"/>
      <c r="S61" s="248"/>
      <c r="T61" s="248"/>
      <c r="U61" s="293">
        <f t="shared" si="5"/>
        <v>270</v>
      </c>
      <c r="V61" s="248"/>
      <c r="W61" s="248"/>
      <c r="X61" s="295" t="s">
        <v>708</v>
      </c>
      <c r="Y61" s="248"/>
      <c r="Z61" s="248"/>
      <c r="AA61" s="248"/>
      <c r="AB61" s="248"/>
      <c r="AC61" s="248"/>
      <c r="AD61" s="248"/>
      <c r="AE61" s="248"/>
      <c r="AF61" s="248"/>
      <c r="AG61" s="248"/>
      <c r="AH61" s="248"/>
      <c r="AI61" s="248"/>
      <c r="AJ61" s="248"/>
      <c r="AK61" s="248"/>
      <c r="AL61" s="248"/>
      <c r="AM61" s="248"/>
      <c r="AN61" s="293">
        <f t="shared" si="6"/>
        <v>87</v>
      </c>
      <c r="AO61" s="248"/>
      <c r="AP61" s="296">
        <f ca="1">OFFSET('Calc.U.Uncertainty'!$A$1,U61-1,AN61-1)/100</f>
        <v>0.16</v>
      </c>
      <c r="AQ61" s="297"/>
      <c r="AR61" s="297"/>
      <c r="AS61" s="297"/>
      <c r="AT61" s="298"/>
      <c r="AU61" s="249"/>
    </row>
    <row r="62" spans="1:47" s="250" customFormat="1" ht="10.199999999999999" hidden="1" outlineLevel="1">
      <c r="A62" s="238"/>
      <c r="B62" s="238"/>
      <c r="D62" s="238"/>
      <c r="E62" s="238"/>
      <c r="F62" s="238"/>
      <c r="G62" s="238"/>
      <c r="H62" s="238"/>
      <c r="I62" s="238"/>
      <c r="J62" s="238"/>
      <c r="K62" s="238"/>
      <c r="L62" s="251"/>
      <c r="M62" s="294" t="str">
        <f t="shared" si="4"/>
        <v>C.A.007</v>
      </c>
      <c r="N62" s="248"/>
      <c r="O62" s="248"/>
      <c r="P62" s="248"/>
      <c r="Q62" s="248"/>
      <c r="R62" s="248"/>
      <c r="S62" s="248"/>
      <c r="T62" s="248"/>
      <c r="U62" s="293">
        <f t="shared" si="5"/>
        <v>271</v>
      </c>
      <c r="V62" s="248"/>
      <c r="W62" s="248"/>
      <c r="X62" s="295" t="s">
        <v>708</v>
      </c>
      <c r="Y62" s="248"/>
      <c r="Z62" s="248"/>
      <c r="AA62" s="248"/>
      <c r="AB62" s="248"/>
      <c r="AC62" s="248"/>
      <c r="AD62" s="248"/>
      <c r="AE62" s="248"/>
      <c r="AF62" s="248"/>
      <c r="AG62" s="248"/>
      <c r="AH62" s="248"/>
      <c r="AI62" s="248"/>
      <c r="AJ62" s="248"/>
      <c r="AK62" s="248"/>
      <c r="AL62" s="248"/>
      <c r="AM62" s="248"/>
      <c r="AN62" s="293">
        <f t="shared" si="6"/>
        <v>87</v>
      </c>
      <c r="AO62" s="248"/>
      <c r="AP62" s="296">
        <f ca="1">OFFSET('Calc.U.Uncertainty'!$A$1,U62-1,AN62-1)/100</f>
        <v>0.16</v>
      </c>
      <c r="AQ62" s="297"/>
      <c r="AR62" s="297"/>
      <c r="AS62" s="297"/>
      <c r="AT62" s="298"/>
      <c r="AU62" s="249"/>
    </row>
    <row r="63" spans="1:47" s="250" customFormat="1" ht="10.199999999999999" hidden="1" outlineLevel="1">
      <c r="A63" s="238"/>
      <c r="B63" s="238"/>
      <c r="D63" s="238"/>
      <c r="E63" s="238"/>
      <c r="F63" s="238"/>
      <c r="G63" s="238"/>
      <c r="H63" s="238"/>
      <c r="I63" s="238"/>
      <c r="J63" s="238"/>
      <c r="K63" s="238"/>
      <c r="L63" s="251"/>
      <c r="M63" s="294" t="str">
        <f t="shared" si="4"/>
        <v>C.A.008</v>
      </c>
      <c r="N63" s="248"/>
      <c r="O63" s="248"/>
      <c r="P63" s="248"/>
      <c r="Q63" s="248"/>
      <c r="R63" s="248"/>
      <c r="S63" s="248"/>
      <c r="T63" s="248"/>
      <c r="U63" s="293">
        <f t="shared" si="5"/>
        <v>272</v>
      </c>
      <c r="V63" s="248"/>
      <c r="W63" s="248"/>
      <c r="X63" s="295" t="s">
        <v>708</v>
      </c>
      <c r="Y63" s="248"/>
      <c r="Z63" s="248"/>
      <c r="AA63" s="248"/>
      <c r="AB63" s="248"/>
      <c r="AC63" s="248"/>
      <c r="AD63" s="248"/>
      <c r="AE63" s="248"/>
      <c r="AF63" s="248"/>
      <c r="AG63" s="248"/>
      <c r="AH63" s="248"/>
      <c r="AI63" s="248"/>
      <c r="AJ63" s="248"/>
      <c r="AK63" s="248"/>
      <c r="AL63" s="248"/>
      <c r="AM63" s="248"/>
      <c r="AN63" s="293">
        <f t="shared" si="6"/>
        <v>87</v>
      </c>
      <c r="AO63" s="248"/>
      <c r="AP63" s="296">
        <f ca="1">OFFSET('Calc.U.Uncertainty'!$A$1,U63-1,AN63-1)/100</f>
        <v>0.3</v>
      </c>
      <c r="AQ63" s="297"/>
      <c r="AR63" s="297"/>
      <c r="AS63" s="297"/>
      <c r="AT63" s="298"/>
      <c r="AU63" s="249"/>
    </row>
    <row r="64" spans="1:47" s="250" customFormat="1" ht="10.199999999999999" hidden="1" outlineLevel="1">
      <c r="A64" s="238"/>
      <c r="B64" s="238"/>
      <c r="D64" s="238"/>
      <c r="E64" s="238"/>
      <c r="F64" s="238"/>
      <c r="G64" s="238"/>
      <c r="H64" s="238"/>
      <c r="I64" s="238"/>
      <c r="J64" s="238"/>
      <c r="K64" s="238"/>
      <c r="L64" s="251"/>
      <c r="M64" s="294" t="str">
        <f t="shared" si="4"/>
        <v>C.A.009</v>
      </c>
      <c r="N64" s="248"/>
      <c r="O64" s="248"/>
      <c r="P64" s="248"/>
      <c r="Q64" s="248"/>
      <c r="R64" s="248"/>
      <c r="S64" s="248"/>
      <c r="T64" s="248"/>
      <c r="U64" s="293">
        <f t="shared" si="5"/>
        <v>273</v>
      </c>
      <c r="V64" s="248"/>
      <c r="W64" s="248"/>
      <c r="X64" s="295" t="s">
        <v>708</v>
      </c>
      <c r="Y64" s="248"/>
      <c r="Z64" s="248"/>
      <c r="AA64" s="248"/>
      <c r="AB64" s="248"/>
      <c r="AC64" s="248"/>
      <c r="AD64" s="248"/>
      <c r="AE64" s="248"/>
      <c r="AF64" s="248"/>
      <c r="AG64" s="248"/>
      <c r="AH64" s="248"/>
      <c r="AI64" s="248"/>
      <c r="AJ64" s="248"/>
      <c r="AK64" s="248"/>
      <c r="AL64" s="248"/>
      <c r="AM64" s="248"/>
      <c r="AN64" s="293">
        <f t="shared" si="6"/>
        <v>87</v>
      </c>
      <c r="AO64" s="248"/>
      <c r="AP64" s="296">
        <f ca="1">OFFSET('Calc.U.Uncertainty'!$A$1,U64-1,AN64-1)/100</f>
        <v>0.3</v>
      </c>
      <c r="AQ64" s="297"/>
      <c r="AR64" s="297"/>
      <c r="AS64" s="297"/>
      <c r="AT64" s="298"/>
      <c r="AU64" s="249"/>
    </row>
    <row r="65" spans="1:47" s="250" customFormat="1" ht="10.199999999999999" hidden="1" outlineLevel="1">
      <c r="A65" s="238"/>
      <c r="B65" s="238"/>
      <c r="D65" s="238"/>
      <c r="E65" s="238"/>
      <c r="F65" s="238"/>
      <c r="G65" s="238"/>
      <c r="H65" s="238"/>
      <c r="I65" s="238"/>
      <c r="J65" s="238"/>
      <c r="K65" s="238"/>
      <c r="L65" s="251"/>
      <c r="M65" s="294" t="str">
        <f t="shared" si="4"/>
        <v>C.A.010</v>
      </c>
      <c r="N65" s="248"/>
      <c r="O65" s="248"/>
      <c r="P65" s="248"/>
      <c r="Q65" s="248"/>
      <c r="R65" s="248"/>
      <c r="S65" s="248"/>
      <c r="T65" s="248"/>
      <c r="U65" s="293">
        <f t="shared" si="5"/>
        <v>274</v>
      </c>
      <c r="V65" s="248"/>
      <c r="W65" s="248"/>
      <c r="X65" s="295" t="s">
        <v>708</v>
      </c>
      <c r="Y65" s="248"/>
      <c r="Z65" s="248"/>
      <c r="AA65" s="248"/>
      <c r="AB65" s="248"/>
      <c r="AC65" s="248"/>
      <c r="AD65" s="248"/>
      <c r="AE65" s="248"/>
      <c r="AF65" s="248"/>
      <c r="AG65" s="248"/>
      <c r="AH65" s="248"/>
      <c r="AI65" s="248"/>
      <c r="AJ65" s="248"/>
      <c r="AK65" s="248"/>
      <c r="AL65" s="248"/>
      <c r="AM65" s="248"/>
      <c r="AN65" s="293">
        <f t="shared" si="6"/>
        <v>87</v>
      </c>
      <c r="AO65" s="248"/>
      <c r="AP65" s="296">
        <f ca="1">OFFSET('Calc.U.Uncertainty'!$A$1,U65-1,AN65-1)/100</f>
        <v>0.12</v>
      </c>
      <c r="AQ65" s="297"/>
      <c r="AR65" s="297"/>
      <c r="AS65" s="297"/>
      <c r="AT65" s="298"/>
      <c r="AU65" s="249"/>
    </row>
    <row r="66" spans="1:47" s="250" customFormat="1" ht="10.199999999999999" hidden="1" outlineLevel="1">
      <c r="A66" s="238"/>
      <c r="B66" s="238"/>
      <c r="D66" s="238"/>
      <c r="E66" s="238"/>
      <c r="F66" s="238"/>
      <c r="G66" s="238"/>
      <c r="H66" s="238"/>
      <c r="I66" s="238"/>
      <c r="J66" s="238"/>
      <c r="K66" s="238"/>
      <c r="L66" s="251"/>
      <c r="M66" s="294" t="str">
        <f t="shared" si="4"/>
        <v>C.A.011</v>
      </c>
      <c r="N66" s="248"/>
      <c r="O66" s="248"/>
      <c r="P66" s="248"/>
      <c r="Q66" s="248"/>
      <c r="R66" s="248"/>
      <c r="S66" s="248"/>
      <c r="T66" s="248"/>
      <c r="U66" s="293">
        <f t="shared" si="5"/>
        <v>275</v>
      </c>
      <c r="V66" s="248"/>
      <c r="W66" s="248"/>
      <c r="X66" s="295" t="s">
        <v>708</v>
      </c>
      <c r="Y66" s="248"/>
      <c r="Z66" s="248"/>
      <c r="AA66" s="248"/>
      <c r="AB66" s="248"/>
      <c r="AC66" s="248"/>
      <c r="AD66" s="248"/>
      <c r="AE66" s="248"/>
      <c r="AF66" s="248"/>
      <c r="AG66" s="248"/>
      <c r="AH66" s="248"/>
      <c r="AI66" s="248"/>
      <c r="AJ66" s="248"/>
      <c r="AK66" s="248"/>
      <c r="AL66" s="248"/>
      <c r="AM66" s="248"/>
      <c r="AN66" s="293">
        <f t="shared" si="6"/>
        <v>87</v>
      </c>
      <c r="AO66" s="248"/>
      <c r="AP66" s="296">
        <f ca="1">OFFSET('Calc.U.Uncertainty'!$A$1,U66-1,AN66-1)/100</f>
        <v>0.09</v>
      </c>
      <c r="AQ66" s="297"/>
      <c r="AR66" s="297"/>
      <c r="AS66" s="297"/>
      <c r="AT66" s="298"/>
      <c r="AU66" s="249"/>
    </row>
    <row r="67" spans="1:47" s="250" customFormat="1" ht="10.199999999999999" hidden="1" outlineLevel="1">
      <c r="A67" s="238"/>
      <c r="B67" s="238"/>
      <c r="D67" s="238"/>
      <c r="E67" s="238"/>
      <c r="F67" s="238"/>
      <c r="G67" s="238"/>
      <c r="H67" s="238"/>
      <c r="I67" s="238"/>
      <c r="J67" s="238"/>
      <c r="K67" s="238"/>
      <c r="L67" s="251"/>
      <c r="M67" s="294" t="str">
        <f t="shared" si="4"/>
        <v>C.A.012</v>
      </c>
      <c r="N67" s="248"/>
      <c r="O67" s="248"/>
      <c r="P67" s="248"/>
      <c r="Q67" s="248"/>
      <c r="R67" s="248"/>
      <c r="S67" s="248"/>
      <c r="T67" s="248"/>
      <c r="U67" s="293">
        <f t="shared" si="5"/>
        <v>276</v>
      </c>
      <c r="V67" s="248"/>
      <c r="W67" s="248"/>
      <c r="X67" s="295" t="s">
        <v>708</v>
      </c>
      <c r="Y67" s="248"/>
      <c r="Z67" s="248"/>
      <c r="AA67" s="248"/>
      <c r="AB67" s="248"/>
      <c r="AC67" s="248"/>
      <c r="AD67" s="248"/>
      <c r="AE67" s="248"/>
      <c r="AF67" s="248"/>
      <c r="AG67" s="248"/>
      <c r="AH67" s="248"/>
      <c r="AI67" s="248"/>
      <c r="AJ67" s="248"/>
      <c r="AK67" s="248"/>
      <c r="AL67" s="248"/>
      <c r="AM67" s="248"/>
      <c r="AN67" s="293">
        <f t="shared" si="6"/>
        <v>87</v>
      </c>
      <c r="AO67" s="248"/>
      <c r="AP67" s="296">
        <f ca="1">OFFSET('Calc.U.Uncertainty'!$A$1,U67-1,AN67-1)/100</f>
        <v>0.15</v>
      </c>
      <c r="AQ67" s="297"/>
      <c r="AR67" s="297"/>
      <c r="AS67" s="297"/>
      <c r="AT67" s="298"/>
      <c r="AU67" s="249"/>
    </row>
    <row r="68" spans="1:47" s="250" customFormat="1" ht="10.199999999999999" hidden="1" outlineLevel="1">
      <c r="A68" s="238"/>
      <c r="B68" s="238"/>
      <c r="D68" s="238"/>
      <c r="E68" s="238"/>
      <c r="F68" s="238"/>
      <c r="G68" s="238"/>
      <c r="H68" s="238"/>
      <c r="I68" s="238"/>
      <c r="J68" s="238"/>
      <c r="K68" s="238"/>
      <c r="L68" s="251"/>
      <c r="M68" s="294" t="str">
        <f t="shared" si="4"/>
        <v>C.A.001</v>
      </c>
      <c r="N68" s="248"/>
      <c r="O68" s="248"/>
      <c r="P68" s="248"/>
      <c r="Q68" s="248"/>
      <c r="R68" s="248"/>
      <c r="S68" s="248"/>
      <c r="T68" s="248"/>
      <c r="U68" s="293">
        <f t="shared" si="5"/>
        <v>265</v>
      </c>
      <c r="V68" s="248"/>
      <c r="W68" s="248"/>
      <c r="X68" s="288" t="s">
        <v>709</v>
      </c>
      <c r="Y68" s="248"/>
      <c r="Z68" s="248"/>
      <c r="AA68" s="248"/>
      <c r="AB68" s="248"/>
      <c r="AC68" s="248"/>
      <c r="AD68" s="248"/>
      <c r="AE68" s="248"/>
      <c r="AF68" s="248"/>
      <c r="AG68" s="248"/>
      <c r="AH68" s="248"/>
      <c r="AI68" s="248"/>
      <c r="AJ68" s="248"/>
      <c r="AK68" s="248"/>
      <c r="AL68" s="248"/>
      <c r="AM68" s="248"/>
      <c r="AN68" s="289">
        <f>MATCH(X68,'Calc.U.Uncertainty'!$1:$1,0)</f>
        <v>88</v>
      </c>
      <c r="AO68" s="248"/>
      <c r="AP68" s="290">
        <f ca="1">OFFSET('Calc.U.Uncertainty'!$A$1,U68-1,AN68-1)</f>
        <v>0</v>
      </c>
      <c r="AQ68" s="291"/>
      <c r="AR68" s="291"/>
      <c r="AS68" s="291"/>
      <c r="AT68" s="292"/>
      <c r="AU68" s="249"/>
    </row>
    <row r="69" spans="1:47" s="250" customFormat="1" ht="10.199999999999999" hidden="1" outlineLevel="1">
      <c r="A69" s="238"/>
      <c r="B69" s="238"/>
      <c r="D69" s="238"/>
      <c r="E69" s="238"/>
      <c r="F69" s="238"/>
      <c r="G69" s="238"/>
      <c r="H69" s="238"/>
      <c r="I69" s="238"/>
      <c r="J69" s="238"/>
      <c r="K69" s="238"/>
      <c r="L69" s="251"/>
      <c r="M69" s="294" t="str">
        <f t="shared" si="4"/>
        <v>C.A.002</v>
      </c>
      <c r="N69" s="248"/>
      <c r="O69" s="248"/>
      <c r="P69" s="248"/>
      <c r="Q69" s="248"/>
      <c r="R69" s="248"/>
      <c r="S69" s="248"/>
      <c r="T69" s="248"/>
      <c r="U69" s="293">
        <f t="shared" si="5"/>
        <v>266</v>
      </c>
      <c r="V69" s="248"/>
      <c r="W69" s="248"/>
      <c r="X69" s="295" t="s">
        <v>709</v>
      </c>
      <c r="Y69" s="248"/>
      <c r="Z69" s="248"/>
      <c r="AA69" s="248"/>
      <c r="AB69" s="248"/>
      <c r="AC69" s="248"/>
      <c r="AD69" s="248"/>
      <c r="AE69" s="248"/>
      <c r="AF69" s="248"/>
      <c r="AG69" s="248"/>
      <c r="AH69" s="248"/>
      <c r="AI69" s="248"/>
      <c r="AJ69" s="248"/>
      <c r="AK69" s="248"/>
      <c r="AL69" s="248"/>
      <c r="AM69" s="248"/>
      <c r="AN69" s="293">
        <f t="shared" si="7"/>
        <v>88</v>
      </c>
      <c r="AO69" s="248"/>
      <c r="AP69" s="290">
        <f ca="1">OFFSET('Calc.U.Uncertainty'!$A$1,U69-1,AN69-1)</f>
        <v>0</v>
      </c>
      <c r="AQ69" s="291"/>
      <c r="AR69" s="291"/>
      <c r="AS69" s="291"/>
      <c r="AT69" s="292"/>
      <c r="AU69" s="249"/>
    </row>
    <row r="70" spans="1:47" s="250" customFormat="1" ht="10.199999999999999" hidden="1" outlineLevel="1">
      <c r="A70" s="238"/>
      <c r="B70" s="238"/>
      <c r="D70" s="238"/>
      <c r="E70" s="238"/>
      <c r="F70" s="238"/>
      <c r="G70" s="238"/>
      <c r="H70" s="238"/>
      <c r="I70" s="238"/>
      <c r="J70" s="238"/>
      <c r="K70" s="238"/>
      <c r="L70" s="251"/>
      <c r="M70" s="294" t="str">
        <f t="shared" si="4"/>
        <v>C.A.003</v>
      </c>
      <c r="N70" s="248"/>
      <c r="O70" s="248"/>
      <c r="P70" s="248"/>
      <c r="Q70" s="248"/>
      <c r="R70" s="248"/>
      <c r="S70" s="248"/>
      <c r="T70" s="248"/>
      <c r="U70" s="293">
        <f t="shared" si="5"/>
        <v>267</v>
      </c>
      <c r="V70" s="248"/>
      <c r="W70" s="248"/>
      <c r="X70" s="295" t="s">
        <v>709</v>
      </c>
      <c r="Y70" s="248"/>
      <c r="Z70" s="248"/>
      <c r="AA70" s="248"/>
      <c r="AB70" s="248"/>
      <c r="AC70" s="248"/>
      <c r="AD70" s="248"/>
      <c r="AE70" s="248"/>
      <c r="AF70" s="248"/>
      <c r="AG70" s="248"/>
      <c r="AH70" s="248"/>
      <c r="AI70" s="248"/>
      <c r="AJ70" s="248"/>
      <c r="AK70" s="248"/>
      <c r="AL70" s="248"/>
      <c r="AM70" s="248"/>
      <c r="AN70" s="293">
        <f t="shared" si="7"/>
        <v>88</v>
      </c>
      <c r="AO70" s="248"/>
      <c r="AP70" s="290">
        <f ca="1">OFFSET('Calc.U.Uncertainty'!$A$1,U70-1,AN70-1)</f>
        <v>0</v>
      </c>
      <c r="AQ70" s="291"/>
      <c r="AR70" s="291"/>
      <c r="AS70" s="291"/>
      <c r="AT70" s="292"/>
      <c r="AU70" s="249"/>
    </row>
    <row r="71" spans="1:47" s="250" customFormat="1" ht="10.199999999999999" hidden="1" outlineLevel="1">
      <c r="A71" s="238"/>
      <c r="B71" s="238"/>
      <c r="D71" s="238"/>
      <c r="E71" s="238"/>
      <c r="F71" s="238"/>
      <c r="G71" s="238"/>
      <c r="H71" s="238"/>
      <c r="I71" s="238"/>
      <c r="J71" s="238"/>
      <c r="K71" s="238"/>
      <c r="L71" s="251"/>
      <c r="M71" s="294" t="str">
        <f t="shared" si="4"/>
        <v>C.A.004</v>
      </c>
      <c r="N71" s="248"/>
      <c r="O71" s="248"/>
      <c r="P71" s="248"/>
      <c r="Q71" s="248"/>
      <c r="R71" s="248"/>
      <c r="S71" s="248"/>
      <c r="T71" s="248"/>
      <c r="U71" s="293">
        <f t="shared" si="5"/>
        <v>268</v>
      </c>
      <c r="V71" s="248"/>
      <c r="W71" s="248"/>
      <c r="X71" s="295" t="s">
        <v>709</v>
      </c>
      <c r="Y71" s="248"/>
      <c r="Z71" s="248"/>
      <c r="AA71" s="248"/>
      <c r="AB71" s="248"/>
      <c r="AC71" s="248"/>
      <c r="AD71" s="248"/>
      <c r="AE71" s="248"/>
      <c r="AF71" s="248"/>
      <c r="AG71" s="248"/>
      <c r="AH71" s="248"/>
      <c r="AI71" s="248"/>
      <c r="AJ71" s="248"/>
      <c r="AK71" s="248"/>
      <c r="AL71" s="248"/>
      <c r="AM71" s="248"/>
      <c r="AN71" s="293">
        <f t="shared" si="7"/>
        <v>88</v>
      </c>
      <c r="AO71" s="248"/>
      <c r="AP71" s="290">
        <f ca="1">OFFSET('Calc.U.Uncertainty'!$A$1,U71-1,AN71-1)</f>
        <v>4.4999999999999998E-2</v>
      </c>
      <c r="AQ71" s="291"/>
      <c r="AR71" s="291"/>
      <c r="AS71" s="291"/>
      <c r="AT71" s="292"/>
      <c r="AU71" s="249"/>
    </row>
    <row r="72" spans="1:47" s="250" customFormat="1" ht="10.199999999999999" hidden="1" outlineLevel="1">
      <c r="A72" s="238"/>
      <c r="B72" s="238"/>
      <c r="D72" s="238"/>
      <c r="E72" s="238"/>
      <c r="F72" s="238"/>
      <c r="G72" s="238"/>
      <c r="H72" s="238"/>
      <c r="I72" s="238"/>
      <c r="J72" s="238"/>
      <c r="K72" s="238"/>
      <c r="L72" s="251"/>
      <c r="M72" s="294" t="str">
        <f t="shared" si="4"/>
        <v>C.A.005</v>
      </c>
      <c r="N72" s="248"/>
      <c r="O72" s="248"/>
      <c r="P72" s="248"/>
      <c r="Q72" s="248"/>
      <c r="R72" s="248"/>
      <c r="S72" s="248"/>
      <c r="T72" s="248"/>
      <c r="U72" s="293">
        <f t="shared" si="5"/>
        <v>269</v>
      </c>
      <c r="V72" s="248"/>
      <c r="W72" s="248"/>
      <c r="X72" s="295" t="s">
        <v>709</v>
      </c>
      <c r="Y72" s="248"/>
      <c r="Z72" s="248"/>
      <c r="AA72" s="248"/>
      <c r="AB72" s="248"/>
      <c r="AC72" s="248"/>
      <c r="AD72" s="248"/>
      <c r="AE72" s="248"/>
      <c r="AF72" s="248"/>
      <c r="AG72" s="248"/>
      <c r="AH72" s="248"/>
      <c r="AI72" s="248"/>
      <c r="AJ72" s="248"/>
      <c r="AK72" s="248"/>
      <c r="AL72" s="248"/>
      <c r="AM72" s="248"/>
      <c r="AN72" s="293">
        <f t="shared" si="7"/>
        <v>88</v>
      </c>
      <c r="AO72" s="248"/>
      <c r="AP72" s="290">
        <f ca="1">OFFSET('Calc.U.Uncertainty'!$A$1,U72-1,AN72-1)</f>
        <v>3.5000000000000003E-2</v>
      </c>
      <c r="AQ72" s="291"/>
      <c r="AR72" s="291"/>
      <c r="AS72" s="291"/>
      <c r="AT72" s="292"/>
      <c r="AU72" s="249"/>
    </row>
    <row r="73" spans="1:47" s="250" customFormat="1" ht="10.199999999999999" hidden="1" outlineLevel="1">
      <c r="A73" s="238"/>
      <c r="B73" s="238"/>
      <c r="D73" s="238"/>
      <c r="E73" s="238"/>
      <c r="F73" s="238"/>
      <c r="G73" s="238"/>
      <c r="H73" s="238"/>
      <c r="I73" s="238"/>
      <c r="J73" s="238"/>
      <c r="K73" s="238"/>
      <c r="L73" s="251"/>
      <c r="M73" s="294" t="str">
        <f t="shared" si="4"/>
        <v>C.A.006</v>
      </c>
      <c r="N73" s="248"/>
      <c r="O73" s="248"/>
      <c r="P73" s="248"/>
      <c r="Q73" s="248"/>
      <c r="R73" s="248"/>
      <c r="S73" s="248"/>
      <c r="T73" s="248"/>
      <c r="U73" s="293">
        <f t="shared" si="5"/>
        <v>270</v>
      </c>
      <c r="V73" s="248"/>
      <c r="W73" s="248"/>
      <c r="X73" s="295" t="s">
        <v>709</v>
      </c>
      <c r="Y73" s="248"/>
      <c r="Z73" s="248"/>
      <c r="AA73" s="248"/>
      <c r="AB73" s="248"/>
      <c r="AC73" s="248"/>
      <c r="AD73" s="248"/>
      <c r="AE73" s="248"/>
      <c r="AF73" s="248"/>
      <c r="AG73" s="248"/>
      <c r="AH73" s="248"/>
      <c r="AI73" s="248"/>
      <c r="AJ73" s="248"/>
      <c r="AK73" s="248"/>
      <c r="AL73" s="248"/>
      <c r="AM73" s="248"/>
      <c r="AN73" s="293">
        <f t="shared" si="7"/>
        <v>88</v>
      </c>
      <c r="AO73" s="248"/>
      <c r="AP73" s="290">
        <f ca="1">OFFSET('Calc.U.Uncertainty'!$A$1,U73-1,AN73-1)</f>
        <v>3.5000000000000003E-2</v>
      </c>
      <c r="AQ73" s="291"/>
      <c r="AR73" s="291"/>
      <c r="AS73" s="291"/>
      <c r="AT73" s="292"/>
      <c r="AU73" s="249"/>
    </row>
    <row r="74" spans="1:47" s="250" customFormat="1" ht="10.199999999999999" hidden="1" outlineLevel="1">
      <c r="A74" s="238"/>
      <c r="B74" s="238"/>
      <c r="D74" s="238"/>
      <c r="E74" s="238"/>
      <c r="F74" s="238"/>
      <c r="G74" s="238"/>
      <c r="H74" s="238"/>
      <c r="I74" s="238"/>
      <c r="J74" s="238"/>
      <c r="K74" s="238"/>
      <c r="L74" s="251"/>
      <c r="M74" s="294" t="str">
        <f t="shared" si="4"/>
        <v>C.A.007</v>
      </c>
      <c r="N74" s="248"/>
      <c r="O74" s="248"/>
      <c r="P74" s="248"/>
      <c r="Q74" s="248"/>
      <c r="R74" s="248"/>
      <c r="S74" s="248"/>
      <c r="T74" s="248"/>
      <c r="U74" s="293">
        <f t="shared" si="5"/>
        <v>271</v>
      </c>
      <c r="V74" s="248"/>
      <c r="W74" s="248"/>
      <c r="X74" s="295" t="s">
        <v>709</v>
      </c>
      <c r="Y74" s="248"/>
      <c r="Z74" s="248"/>
      <c r="AA74" s="248"/>
      <c r="AB74" s="248"/>
      <c r="AC74" s="248"/>
      <c r="AD74" s="248"/>
      <c r="AE74" s="248"/>
      <c r="AF74" s="248"/>
      <c r="AG74" s="248"/>
      <c r="AH74" s="248"/>
      <c r="AI74" s="248"/>
      <c r="AJ74" s="248"/>
      <c r="AK74" s="248"/>
      <c r="AL74" s="248"/>
      <c r="AM74" s="248"/>
      <c r="AN74" s="293">
        <f t="shared" si="7"/>
        <v>88</v>
      </c>
      <c r="AO74" s="248"/>
      <c r="AP74" s="290">
        <f ca="1">OFFSET('Calc.U.Uncertainty'!$A$1,U74-1,AN74-1)</f>
        <v>3.5000000000000003E-2</v>
      </c>
      <c r="AQ74" s="291"/>
      <c r="AR74" s="291"/>
      <c r="AS74" s="291"/>
      <c r="AT74" s="292"/>
      <c r="AU74" s="249"/>
    </row>
    <row r="75" spans="1:47" s="250" customFormat="1" ht="10.199999999999999" hidden="1" outlineLevel="1">
      <c r="A75" s="238"/>
      <c r="B75" s="238"/>
      <c r="D75" s="238"/>
      <c r="E75" s="238"/>
      <c r="F75" s="238"/>
      <c r="G75" s="238"/>
      <c r="H75" s="238"/>
      <c r="I75" s="238"/>
      <c r="J75" s="238"/>
      <c r="K75" s="238"/>
      <c r="L75" s="251"/>
      <c r="M75" s="294" t="str">
        <f t="shared" si="4"/>
        <v>C.A.008</v>
      </c>
      <c r="N75" s="248"/>
      <c r="O75" s="248"/>
      <c r="P75" s="248"/>
      <c r="Q75" s="248"/>
      <c r="R75" s="248"/>
      <c r="S75" s="248"/>
      <c r="T75" s="248"/>
      <c r="U75" s="293">
        <f t="shared" si="5"/>
        <v>272</v>
      </c>
      <c r="V75" s="248"/>
      <c r="W75" s="248"/>
      <c r="X75" s="295" t="s">
        <v>709</v>
      </c>
      <c r="Y75" s="248"/>
      <c r="Z75" s="248"/>
      <c r="AA75" s="248"/>
      <c r="AB75" s="248"/>
      <c r="AC75" s="248"/>
      <c r="AD75" s="248"/>
      <c r="AE75" s="248"/>
      <c r="AF75" s="248"/>
      <c r="AG75" s="248"/>
      <c r="AH75" s="248"/>
      <c r="AI75" s="248"/>
      <c r="AJ75" s="248"/>
      <c r="AK75" s="248"/>
      <c r="AL75" s="248"/>
      <c r="AM75" s="248"/>
      <c r="AN75" s="293">
        <f t="shared" si="7"/>
        <v>88</v>
      </c>
      <c r="AO75" s="248"/>
      <c r="AP75" s="290">
        <f ca="1">OFFSET('Calc.U.Uncertainty'!$A$1,U75-1,AN75-1)</f>
        <v>3.5000000000000003E-2</v>
      </c>
      <c r="AQ75" s="291"/>
      <c r="AR75" s="291"/>
      <c r="AS75" s="291"/>
      <c r="AT75" s="292"/>
      <c r="AU75" s="249"/>
    </row>
    <row r="76" spans="1:47" s="250" customFormat="1" ht="10.199999999999999" hidden="1" outlineLevel="1">
      <c r="A76" s="238"/>
      <c r="B76" s="238"/>
      <c r="D76" s="238"/>
      <c r="E76" s="238"/>
      <c r="F76" s="238"/>
      <c r="G76" s="238"/>
      <c r="H76" s="238"/>
      <c r="I76" s="238"/>
      <c r="J76" s="238"/>
      <c r="K76" s="238"/>
      <c r="L76" s="251"/>
      <c r="M76" s="294" t="str">
        <f t="shared" si="4"/>
        <v>C.A.009</v>
      </c>
      <c r="N76" s="248"/>
      <c r="O76" s="248"/>
      <c r="P76" s="248"/>
      <c r="Q76" s="248"/>
      <c r="R76" s="248"/>
      <c r="S76" s="248"/>
      <c r="T76" s="248"/>
      <c r="U76" s="293">
        <f t="shared" si="5"/>
        <v>273</v>
      </c>
      <c r="V76" s="248"/>
      <c r="W76" s="248"/>
      <c r="X76" s="295" t="s">
        <v>709</v>
      </c>
      <c r="Y76" s="248"/>
      <c r="Z76" s="248"/>
      <c r="AA76" s="248"/>
      <c r="AB76" s="248"/>
      <c r="AC76" s="248"/>
      <c r="AD76" s="248"/>
      <c r="AE76" s="248"/>
      <c r="AF76" s="248"/>
      <c r="AG76" s="248"/>
      <c r="AH76" s="248"/>
      <c r="AI76" s="248"/>
      <c r="AJ76" s="248"/>
      <c r="AK76" s="248"/>
      <c r="AL76" s="248"/>
      <c r="AM76" s="248"/>
      <c r="AN76" s="293">
        <f t="shared" si="7"/>
        <v>88</v>
      </c>
      <c r="AO76" s="248"/>
      <c r="AP76" s="290">
        <f ca="1">OFFSET('Calc.U.Uncertainty'!$A$1,U76-1,AN76-1)</f>
        <v>3.5000000000000003E-2</v>
      </c>
      <c r="AQ76" s="291"/>
      <c r="AR76" s="291"/>
      <c r="AS76" s="291"/>
      <c r="AT76" s="292"/>
      <c r="AU76" s="249"/>
    </row>
    <row r="77" spans="1:47" s="250" customFormat="1" ht="10.199999999999999" hidden="1" outlineLevel="1">
      <c r="A77" s="238"/>
      <c r="B77" s="238"/>
      <c r="D77" s="238"/>
      <c r="E77" s="238"/>
      <c r="F77" s="238"/>
      <c r="G77" s="238"/>
      <c r="H77" s="238"/>
      <c r="I77" s="238"/>
      <c r="J77" s="238"/>
      <c r="K77" s="238"/>
      <c r="L77" s="251"/>
      <c r="M77" s="294" t="str">
        <f t="shared" si="4"/>
        <v>C.A.010</v>
      </c>
      <c r="N77" s="248"/>
      <c r="O77" s="248"/>
      <c r="P77" s="248"/>
      <c r="Q77" s="248"/>
      <c r="R77" s="248"/>
      <c r="S77" s="248"/>
      <c r="T77" s="248"/>
      <c r="U77" s="293">
        <f t="shared" si="5"/>
        <v>274</v>
      </c>
      <c r="V77" s="248"/>
      <c r="W77" s="248"/>
      <c r="X77" s="295" t="s">
        <v>709</v>
      </c>
      <c r="Y77" s="248"/>
      <c r="Z77" s="248"/>
      <c r="AA77" s="248"/>
      <c r="AB77" s="248"/>
      <c r="AC77" s="248"/>
      <c r="AD77" s="248"/>
      <c r="AE77" s="248"/>
      <c r="AF77" s="248"/>
      <c r="AG77" s="248"/>
      <c r="AH77" s="248"/>
      <c r="AI77" s="248"/>
      <c r="AJ77" s="248"/>
      <c r="AK77" s="248"/>
      <c r="AL77" s="248"/>
      <c r="AM77" s="248"/>
      <c r="AN77" s="293">
        <f t="shared" si="7"/>
        <v>88</v>
      </c>
      <c r="AO77" s="248"/>
      <c r="AP77" s="290">
        <f ca="1">OFFSET('Calc.U.Uncertainty'!$A$1,U77-1,AN77-1)</f>
        <v>0.04</v>
      </c>
      <c r="AQ77" s="291"/>
      <c r="AR77" s="291"/>
      <c r="AS77" s="291"/>
      <c r="AT77" s="292"/>
      <c r="AU77" s="249"/>
    </row>
    <row r="78" spans="1:47" s="250" customFormat="1" ht="10.199999999999999" hidden="1" outlineLevel="1">
      <c r="A78" s="238"/>
      <c r="B78" s="238"/>
      <c r="D78" s="238"/>
      <c r="E78" s="238"/>
      <c r="F78" s="238"/>
      <c r="G78" s="238"/>
      <c r="H78" s="238"/>
      <c r="I78" s="238"/>
      <c r="J78" s="238"/>
      <c r="K78" s="238"/>
      <c r="L78" s="251"/>
      <c r="M78" s="294" t="str">
        <f t="shared" si="4"/>
        <v>C.A.011</v>
      </c>
      <c r="N78" s="248"/>
      <c r="O78" s="248"/>
      <c r="P78" s="248"/>
      <c r="Q78" s="248"/>
      <c r="R78" s="248"/>
      <c r="S78" s="248"/>
      <c r="T78" s="248"/>
      <c r="U78" s="293">
        <f t="shared" si="5"/>
        <v>275</v>
      </c>
      <c r="V78" s="248"/>
      <c r="W78" s="248"/>
      <c r="X78" s="295" t="s">
        <v>709</v>
      </c>
      <c r="Y78" s="248"/>
      <c r="Z78" s="248"/>
      <c r="AA78" s="248"/>
      <c r="AB78" s="248"/>
      <c r="AC78" s="248"/>
      <c r="AD78" s="248"/>
      <c r="AE78" s="248"/>
      <c r="AF78" s="248"/>
      <c r="AG78" s="248"/>
      <c r="AH78" s="248"/>
      <c r="AI78" s="248"/>
      <c r="AJ78" s="248"/>
      <c r="AK78" s="248"/>
      <c r="AL78" s="248"/>
      <c r="AM78" s="248"/>
      <c r="AN78" s="293">
        <f t="shared" si="7"/>
        <v>88</v>
      </c>
      <c r="AO78" s="248"/>
      <c r="AP78" s="290">
        <f ca="1">OFFSET('Calc.U.Uncertainty'!$A$1,U78-1,AN78-1)</f>
        <v>0.04</v>
      </c>
      <c r="AQ78" s="291"/>
      <c r="AR78" s="291"/>
      <c r="AS78" s="291"/>
      <c r="AT78" s="292"/>
      <c r="AU78" s="249"/>
    </row>
    <row r="79" spans="1:47" s="250" customFormat="1" ht="10.199999999999999" hidden="1" outlineLevel="1">
      <c r="A79" s="238"/>
      <c r="B79" s="238"/>
      <c r="D79" s="238"/>
      <c r="E79" s="238"/>
      <c r="F79" s="238"/>
      <c r="G79" s="238"/>
      <c r="H79" s="238"/>
      <c r="I79" s="238"/>
      <c r="J79" s="238"/>
      <c r="K79" s="238"/>
      <c r="L79" s="251"/>
      <c r="M79" s="294" t="str">
        <f t="shared" si="4"/>
        <v>C.A.012</v>
      </c>
      <c r="N79" s="248"/>
      <c r="O79" s="248"/>
      <c r="P79" s="248"/>
      <c r="Q79" s="248"/>
      <c r="R79" s="248"/>
      <c r="S79" s="248"/>
      <c r="T79" s="248"/>
      <c r="U79" s="293">
        <f t="shared" si="5"/>
        <v>276</v>
      </c>
      <c r="V79" s="248"/>
      <c r="W79" s="248"/>
      <c r="X79" s="295" t="s">
        <v>709</v>
      </c>
      <c r="Y79" s="248"/>
      <c r="Z79" s="248"/>
      <c r="AA79" s="248"/>
      <c r="AB79" s="248"/>
      <c r="AC79" s="248"/>
      <c r="AD79" s="248"/>
      <c r="AE79" s="248"/>
      <c r="AF79" s="248"/>
      <c r="AG79" s="248"/>
      <c r="AH79" s="248"/>
      <c r="AI79" s="248"/>
      <c r="AJ79" s="248"/>
      <c r="AK79" s="248"/>
      <c r="AL79" s="248"/>
      <c r="AM79" s="248"/>
      <c r="AN79" s="293">
        <f t="shared" si="7"/>
        <v>88</v>
      </c>
      <c r="AO79" s="248"/>
      <c r="AP79" s="290">
        <f ca="1">OFFSET('Calc.U.Uncertainty'!$A$1,U79-1,AN79-1)</f>
        <v>3.5000000000000003E-2</v>
      </c>
      <c r="AQ79" s="291"/>
      <c r="AR79" s="291"/>
      <c r="AS79" s="291"/>
      <c r="AT79" s="292"/>
      <c r="AU79" s="249"/>
    </row>
    <row r="80" spans="1:47" s="250" customFormat="1" ht="10.199999999999999" hidden="1" outlineLevel="1">
      <c r="A80" s="238"/>
      <c r="B80" s="238"/>
      <c r="D80" s="238"/>
      <c r="E80" s="238"/>
      <c r="F80" s="238"/>
      <c r="G80" s="238"/>
      <c r="H80" s="238"/>
      <c r="I80" s="238"/>
      <c r="J80" s="238"/>
      <c r="K80" s="238"/>
      <c r="L80" s="251"/>
      <c r="M80" s="294" t="str">
        <f t="shared" si="4"/>
        <v>C.A.001</v>
      </c>
      <c r="N80" s="248"/>
      <c r="O80" s="248"/>
      <c r="P80" s="248"/>
      <c r="Q80" s="248"/>
      <c r="R80" s="248"/>
      <c r="S80" s="248"/>
      <c r="T80" s="248"/>
      <c r="U80" s="293">
        <f>U188</f>
        <v>265</v>
      </c>
      <c r="V80" s="248"/>
      <c r="W80" s="248"/>
      <c r="X80" s="288" t="s">
        <v>711</v>
      </c>
      <c r="Y80" s="248"/>
      <c r="Z80" s="248"/>
      <c r="AA80" s="248"/>
      <c r="AB80" s="248"/>
      <c r="AC80" s="248"/>
      <c r="AD80" s="248"/>
      <c r="AE80" s="248"/>
      <c r="AF80" s="248"/>
      <c r="AG80" s="248"/>
      <c r="AH80" s="248"/>
      <c r="AI80" s="248"/>
      <c r="AJ80" s="248"/>
      <c r="AK80" s="248"/>
      <c r="AL80" s="248"/>
      <c r="AM80" s="248"/>
      <c r="AN80" s="289">
        <f>MATCH(X80,'Calc.U.Uncertainty'!$1:$1,0)</f>
        <v>89</v>
      </c>
      <c r="AO80" s="248"/>
      <c r="AP80" s="290">
        <f ca="1">OFFSET('Calc.U.Uncertainty'!$A$1,U80-1,AN80-1)</f>
        <v>1.1000000000000001</v>
      </c>
      <c r="AQ80" s="291"/>
      <c r="AR80" s="291"/>
      <c r="AS80" s="291"/>
      <c r="AT80" s="292"/>
      <c r="AU80" s="249"/>
    </row>
    <row r="81" spans="1:47" s="250" customFormat="1" ht="10.199999999999999" hidden="1" outlineLevel="1">
      <c r="A81" s="238"/>
      <c r="B81" s="238"/>
      <c r="D81" s="238"/>
      <c r="E81" s="238"/>
      <c r="F81" s="238"/>
      <c r="G81" s="238"/>
      <c r="H81" s="238"/>
      <c r="I81" s="238"/>
      <c r="J81" s="238"/>
      <c r="K81" s="238"/>
      <c r="L81" s="251"/>
      <c r="M81" s="294" t="str">
        <f t="shared" si="4"/>
        <v>C.A.002</v>
      </c>
      <c r="N81" s="248"/>
      <c r="O81" s="248"/>
      <c r="P81" s="248"/>
      <c r="Q81" s="248"/>
      <c r="R81" s="248"/>
      <c r="S81" s="248"/>
      <c r="T81" s="248"/>
      <c r="U81" s="293">
        <f>U189</f>
        <v>266</v>
      </c>
      <c r="V81" s="248"/>
      <c r="W81" s="248"/>
      <c r="X81" s="295" t="s">
        <v>711</v>
      </c>
      <c r="Y81" s="248"/>
      <c r="Z81" s="248"/>
      <c r="AA81" s="248"/>
      <c r="AB81" s="248"/>
      <c r="AC81" s="248"/>
      <c r="AD81" s="248"/>
      <c r="AE81" s="248"/>
      <c r="AF81" s="248"/>
      <c r="AG81" s="248"/>
      <c r="AH81" s="248"/>
      <c r="AI81" s="248"/>
      <c r="AJ81" s="248"/>
      <c r="AK81" s="248"/>
      <c r="AL81" s="248"/>
      <c r="AM81" s="248"/>
      <c r="AN81" s="293">
        <f t="shared" ref="AN81:AN91" si="8">AN80</f>
        <v>89</v>
      </c>
      <c r="AO81" s="248"/>
      <c r="AP81" s="290">
        <f ca="1">OFFSET('Calc.U.Uncertainty'!$A$1,U81-1,AN81-1)</f>
        <v>0.6</v>
      </c>
      <c r="AQ81" s="291"/>
      <c r="AR81" s="291"/>
      <c r="AS81" s="291"/>
      <c r="AT81" s="292"/>
      <c r="AU81" s="249"/>
    </row>
    <row r="82" spans="1:47" s="250" customFormat="1" ht="10.199999999999999" hidden="1" outlineLevel="1">
      <c r="A82" s="238"/>
      <c r="B82" s="238"/>
      <c r="D82" s="238"/>
      <c r="E82" s="238"/>
      <c r="F82" s="238"/>
      <c r="G82" s="238"/>
      <c r="H82" s="238"/>
      <c r="I82" s="238"/>
      <c r="J82" s="238"/>
      <c r="K82" s="238"/>
      <c r="L82" s="251"/>
      <c r="M82" s="294" t="str">
        <f t="shared" si="4"/>
        <v>C.A.003</v>
      </c>
      <c r="N82" s="248"/>
      <c r="O82" s="248"/>
      <c r="P82" s="248"/>
      <c r="Q82" s="248"/>
      <c r="R82" s="248"/>
      <c r="S82" s="248"/>
      <c r="T82" s="248"/>
      <c r="U82" s="293">
        <f>U190</f>
        <v>267</v>
      </c>
      <c r="V82" s="248"/>
      <c r="W82" s="248"/>
      <c r="X82" s="295" t="s">
        <v>711</v>
      </c>
      <c r="Y82" s="248"/>
      <c r="Z82" s="248"/>
      <c r="AA82" s="248"/>
      <c r="AB82" s="248"/>
      <c r="AC82" s="248"/>
      <c r="AD82" s="248"/>
      <c r="AE82" s="248"/>
      <c r="AF82" s="248"/>
      <c r="AG82" s="248"/>
      <c r="AH82" s="248"/>
      <c r="AI82" s="248"/>
      <c r="AJ82" s="248"/>
      <c r="AK82" s="248"/>
      <c r="AL82" s="248"/>
      <c r="AM82" s="248"/>
      <c r="AN82" s="293">
        <f t="shared" si="8"/>
        <v>89</v>
      </c>
      <c r="AO82" s="248"/>
      <c r="AP82" s="290">
        <f ca="1">OFFSET('Calc.U.Uncertainty'!$A$1,U82-1,AN82-1)</f>
        <v>0.25</v>
      </c>
      <c r="AQ82" s="291"/>
      <c r="AR82" s="291"/>
      <c r="AS82" s="291"/>
      <c r="AT82" s="292"/>
      <c r="AU82" s="249"/>
    </row>
    <row r="83" spans="1:47" s="250" customFormat="1" ht="10.199999999999999" hidden="1" outlineLevel="1">
      <c r="A83" s="238"/>
      <c r="B83" s="238"/>
      <c r="D83" s="238"/>
      <c r="E83" s="238"/>
      <c r="F83" s="238"/>
      <c r="G83" s="238"/>
      <c r="H83" s="238"/>
      <c r="I83" s="238"/>
      <c r="J83" s="238"/>
      <c r="K83" s="238"/>
      <c r="L83" s="251"/>
      <c r="M83" s="294" t="str">
        <f t="shared" si="4"/>
        <v>C.A.004</v>
      </c>
      <c r="N83" s="248"/>
      <c r="O83" s="248"/>
      <c r="P83" s="248"/>
      <c r="Q83" s="248"/>
      <c r="R83" s="248"/>
      <c r="S83" s="248"/>
      <c r="T83" s="248"/>
      <c r="U83" s="293">
        <f>U191</f>
        <v>268</v>
      </c>
      <c r="V83" s="248"/>
      <c r="W83" s="248"/>
      <c r="X83" s="295" t="s">
        <v>711</v>
      </c>
      <c r="Y83" s="248"/>
      <c r="Z83" s="248"/>
      <c r="AA83" s="248"/>
      <c r="AB83" s="248"/>
      <c r="AC83" s="248"/>
      <c r="AD83" s="248"/>
      <c r="AE83" s="248"/>
      <c r="AF83" s="248"/>
      <c r="AG83" s="248"/>
      <c r="AH83" s="248"/>
      <c r="AI83" s="248"/>
      <c r="AJ83" s="248"/>
      <c r="AK83" s="248"/>
      <c r="AL83" s="248"/>
      <c r="AM83" s="248"/>
      <c r="AN83" s="293">
        <f t="shared" si="8"/>
        <v>89</v>
      </c>
      <c r="AO83" s="248"/>
      <c r="AP83" s="290">
        <f ca="1">OFFSET('Calc.U.Uncertainty'!$A$1,U83-1,AN83-1)</f>
        <v>0.5561797752808989</v>
      </c>
      <c r="AQ83" s="291"/>
      <c r="AR83" s="291"/>
      <c r="AS83" s="291"/>
      <c r="AT83" s="292"/>
      <c r="AU83" s="249"/>
    </row>
    <row r="84" spans="1:47" s="250" customFormat="1" ht="10.199999999999999" hidden="1" outlineLevel="1">
      <c r="A84" s="238"/>
      <c r="B84" s="238"/>
      <c r="D84" s="238"/>
      <c r="E84" s="238"/>
      <c r="F84" s="238"/>
      <c r="G84" s="238"/>
      <c r="H84" s="238"/>
      <c r="I84" s="238"/>
      <c r="J84" s="238"/>
      <c r="K84" s="238"/>
      <c r="L84" s="251"/>
      <c r="M84" s="294" t="str">
        <f t="shared" si="4"/>
        <v>C.A.005</v>
      </c>
      <c r="N84" s="248"/>
      <c r="O84" s="248"/>
      <c r="P84" s="248"/>
      <c r="Q84" s="248"/>
      <c r="R84" s="248"/>
      <c r="S84" s="248"/>
      <c r="T84" s="248"/>
      <c r="U84" s="293">
        <f>U192</f>
        <v>269</v>
      </c>
      <c r="V84" s="248"/>
      <c r="W84" s="248"/>
      <c r="X84" s="295" t="s">
        <v>711</v>
      </c>
      <c r="Y84" s="248"/>
      <c r="Z84" s="248"/>
      <c r="AA84" s="248"/>
      <c r="AB84" s="248"/>
      <c r="AC84" s="248"/>
      <c r="AD84" s="248"/>
      <c r="AE84" s="248"/>
      <c r="AF84" s="248"/>
      <c r="AG84" s="248"/>
      <c r="AH84" s="248"/>
      <c r="AI84" s="248"/>
      <c r="AJ84" s="248"/>
      <c r="AK84" s="248"/>
      <c r="AL84" s="248"/>
      <c r="AM84" s="248"/>
      <c r="AN84" s="293">
        <f t="shared" si="8"/>
        <v>89</v>
      </c>
      <c r="AO84" s="248"/>
      <c r="AP84" s="290">
        <f ca="1">OFFSET('Calc.U.Uncertainty'!$A$1,U84-1,AN84-1)</f>
        <v>0.18246445497630331</v>
      </c>
      <c r="AQ84" s="291"/>
      <c r="AR84" s="291"/>
      <c r="AS84" s="291"/>
      <c r="AT84" s="292"/>
      <c r="AU84" s="249"/>
    </row>
    <row r="85" spans="1:47" s="250" customFormat="1" ht="10.199999999999999" hidden="1" outlineLevel="1">
      <c r="A85" s="238"/>
      <c r="B85" s="238"/>
      <c r="D85" s="238"/>
      <c r="E85" s="238"/>
      <c r="F85" s="238"/>
      <c r="G85" s="238"/>
      <c r="H85" s="238"/>
      <c r="I85" s="238"/>
      <c r="J85" s="238"/>
      <c r="K85" s="238"/>
      <c r="L85" s="251"/>
      <c r="M85" s="294" t="str">
        <f t="shared" si="4"/>
        <v>C.A.006</v>
      </c>
      <c r="N85" s="248"/>
      <c r="O85" s="248"/>
      <c r="P85" s="248"/>
      <c r="Q85" s="248"/>
      <c r="R85" s="248"/>
      <c r="S85" s="248"/>
      <c r="T85" s="248"/>
      <c r="U85" s="293">
        <f>U193</f>
        <v>270</v>
      </c>
      <c r="V85" s="248"/>
      <c r="W85" s="248"/>
      <c r="X85" s="295" t="s">
        <v>711</v>
      </c>
      <c r="Y85" s="248"/>
      <c r="Z85" s="248"/>
      <c r="AA85" s="248"/>
      <c r="AB85" s="248"/>
      <c r="AC85" s="248"/>
      <c r="AD85" s="248"/>
      <c r="AE85" s="248"/>
      <c r="AF85" s="248"/>
      <c r="AG85" s="248"/>
      <c r="AH85" s="248"/>
      <c r="AI85" s="248"/>
      <c r="AJ85" s="248"/>
      <c r="AK85" s="248"/>
      <c r="AL85" s="248"/>
      <c r="AM85" s="248"/>
      <c r="AN85" s="293">
        <f t="shared" si="8"/>
        <v>89</v>
      </c>
      <c r="AO85" s="248"/>
      <c r="AP85" s="290">
        <f ca="1">OFFSET('Calc.U.Uncertainty'!$A$1,U85-1,AN85-1)</f>
        <v>0.18246445497630331</v>
      </c>
      <c r="AQ85" s="291"/>
      <c r="AR85" s="291"/>
      <c r="AS85" s="291"/>
      <c r="AT85" s="292"/>
      <c r="AU85" s="249"/>
    </row>
    <row r="86" spans="1:47" s="250" customFormat="1" ht="10.199999999999999" hidden="1" outlineLevel="1">
      <c r="A86" s="238"/>
      <c r="B86" s="238"/>
      <c r="D86" s="238"/>
      <c r="E86" s="238"/>
      <c r="F86" s="238"/>
      <c r="G86" s="238"/>
      <c r="H86" s="238"/>
      <c r="I86" s="238"/>
      <c r="J86" s="238"/>
      <c r="K86" s="238"/>
      <c r="L86" s="251"/>
      <c r="M86" s="294" t="str">
        <f t="shared" si="4"/>
        <v>C.A.007</v>
      </c>
      <c r="N86" s="248"/>
      <c r="O86" s="248"/>
      <c r="P86" s="248"/>
      <c r="Q86" s="248"/>
      <c r="R86" s="248"/>
      <c r="S86" s="248"/>
      <c r="T86" s="248"/>
      <c r="U86" s="293">
        <f>U194</f>
        <v>271</v>
      </c>
      <c r="V86" s="248"/>
      <c r="W86" s="248"/>
      <c r="X86" s="295" t="s">
        <v>711</v>
      </c>
      <c r="Y86" s="248"/>
      <c r="Z86" s="248"/>
      <c r="AA86" s="248"/>
      <c r="AB86" s="248"/>
      <c r="AC86" s="248"/>
      <c r="AD86" s="248"/>
      <c r="AE86" s="248"/>
      <c r="AF86" s="248"/>
      <c r="AG86" s="248"/>
      <c r="AH86" s="248"/>
      <c r="AI86" s="248"/>
      <c r="AJ86" s="248"/>
      <c r="AK86" s="248"/>
      <c r="AL86" s="248"/>
      <c r="AM86" s="248"/>
      <c r="AN86" s="293">
        <f t="shared" si="8"/>
        <v>89</v>
      </c>
      <c r="AO86" s="248"/>
      <c r="AP86" s="290">
        <f ca="1">OFFSET('Calc.U.Uncertainty'!$A$1,U86-1,AN86-1)</f>
        <v>0.18246445497630331</v>
      </c>
      <c r="AQ86" s="291"/>
      <c r="AR86" s="291"/>
      <c r="AS86" s="291"/>
      <c r="AT86" s="292"/>
      <c r="AU86" s="249"/>
    </row>
    <row r="87" spans="1:47" s="250" customFormat="1" ht="10.199999999999999" hidden="1" outlineLevel="1">
      <c r="A87" s="238"/>
      <c r="B87" s="238"/>
      <c r="D87" s="238"/>
      <c r="E87" s="238"/>
      <c r="F87" s="238"/>
      <c r="G87" s="238"/>
      <c r="H87" s="238"/>
      <c r="I87" s="238"/>
      <c r="J87" s="238"/>
      <c r="K87" s="238"/>
      <c r="L87" s="251"/>
      <c r="M87" s="294" t="str">
        <f t="shared" si="4"/>
        <v>C.A.008</v>
      </c>
      <c r="N87" s="248"/>
      <c r="O87" s="248"/>
      <c r="P87" s="248"/>
      <c r="Q87" s="248"/>
      <c r="R87" s="248"/>
      <c r="S87" s="248"/>
      <c r="T87" s="248"/>
      <c r="U87" s="293">
        <f>U195</f>
        <v>272</v>
      </c>
      <c r="V87" s="248"/>
      <c r="W87" s="248"/>
      <c r="X87" s="295" t="s">
        <v>711</v>
      </c>
      <c r="Y87" s="248"/>
      <c r="Z87" s="248"/>
      <c r="AA87" s="248"/>
      <c r="AB87" s="248"/>
      <c r="AC87" s="248"/>
      <c r="AD87" s="248"/>
      <c r="AE87" s="248"/>
      <c r="AF87" s="248"/>
      <c r="AG87" s="248"/>
      <c r="AH87" s="248"/>
      <c r="AI87" s="248"/>
      <c r="AJ87" s="248"/>
      <c r="AK87" s="248"/>
      <c r="AL87" s="248"/>
      <c r="AM87" s="248"/>
      <c r="AN87" s="293">
        <f t="shared" si="8"/>
        <v>89</v>
      </c>
      <c r="AO87" s="248"/>
      <c r="AP87" s="290">
        <f ca="1">OFFSET('Calc.U.Uncertainty'!$A$1,U87-1,AN87-1)</f>
        <v>0.60273972602739734</v>
      </c>
      <c r="AQ87" s="291"/>
      <c r="AR87" s="291"/>
      <c r="AS87" s="291"/>
      <c r="AT87" s="292"/>
      <c r="AU87" s="249"/>
    </row>
    <row r="88" spans="1:47" s="250" customFormat="1" ht="10.199999999999999" hidden="1" outlineLevel="1">
      <c r="A88" s="238"/>
      <c r="B88" s="238"/>
      <c r="D88" s="238"/>
      <c r="E88" s="238"/>
      <c r="F88" s="238"/>
      <c r="G88" s="238"/>
      <c r="H88" s="238"/>
      <c r="I88" s="238"/>
      <c r="J88" s="238"/>
      <c r="K88" s="238"/>
      <c r="L88" s="251"/>
      <c r="M88" s="294" t="str">
        <f t="shared" si="4"/>
        <v>C.A.009</v>
      </c>
      <c r="N88" s="248"/>
      <c r="O88" s="248"/>
      <c r="P88" s="248"/>
      <c r="Q88" s="248"/>
      <c r="R88" s="248"/>
      <c r="S88" s="248"/>
      <c r="T88" s="248"/>
      <c r="U88" s="293">
        <f>U196</f>
        <v>273</v>
      </c>
      <c r="V88" s="248"/>
      <c r="W88" s="248"/>
      <c r="X88" s="295" t="s">
        <v>711</v>
      </c>
      <c r="Y88" s="248"/>
      <c r="Z88" s="248"/>
      <c r="AA88" s="248"/>
      <c r="AB88" s="248"/>
      <c r="AC88" s="248"/>
      <c r="AD88" s="248"/>
      <c r="AE88" s="248"/>
      <c r="AF88" s="248"/>
      <c r="AG88" s="248"/>
      <c r="AH88" s="248"/>
      <c r="AI88" s="248"/>
      <c r="AJ88" s="248"/>
      <c r="AK88" s="248"/>
      <c r="AL88" s="248"/>
      <c r="AM88" s="248"/>
      <c r="AN88" s="293">
        <f t="shared" si="8"/>
        <v>89</v>
      </c>
      <c r="AO88" s="248"/>
      <c r="AP88" s="290">
        <f ca="1">OFFSET('Calc.U.Uncertainty'!$A$1,U88-1,AN88-1)</f>
        <v>0.10547945205479453</v>
      </c>
      <c r="AQ88" s="291"/>
      <c r="AR88" s="291"/>
      <c r="AS88" s="291"/>
      <c r="AT88" s="292"/>
      <c r="AU88" s="249"/>
    </row>
    <row r="89" spans="1:47" s="250" customFormat="1" ht="10.199999999999999" hidden="1" outlineLevel="1">
      <c r="A89" s="238"/>
      <c r="B89" s="238"/>
      <c r="D89" s="238"/>
      <c r="E89" s="238"/>
      <c r="F89" s="238"/>
      <c r="G89" s="238"/>
      <c r="H89" s="238"/>
      <c r="I89" s="238"/>
      <c r="J89" s="238"/>
      <c r="K89" s="238"/>
      <c r="L89" s="251"/>
      <c r="M89" s="294" t="str">
        <f t="shared" si="4"/>
        <v>C.A.010</v>
      </c>
      <c r="N89" s="248"/>
      <c r="O89" s="248"/>
      <c r="P89" s="248"/>
      <c r="Q89" s="248"/>
      <c r="R89" s="248"/>
      <c r="S89" s="248"/>
      <c r="T89" s="248"/>
      <c r="U89" s="293">
        <f>U197</f>
        <v>274</v>
      </c>
      <c r="V89" s="248"/>
      <c r="W89" s="248"/>
      <c r="X89" s="295" t="s">
        <v>711</v>
      </c>
      <c r="Y89" s="248"/>
      <c r="Z89" s="248"/>
      <c r="AA89" s="248"/>
      <c r="AB89" s="248"/>
      <c r="AC89" s="248"/>
      <c r="AD89" s="248"/>
      <c r="AE89" s="248"/>
      <c r="AF89" s="248"/>
      <c r="AG89" s="248"/>
      <c r="AH89" s="248"/>
      <c r="AI89" s="248"/>
      <c r="AJ89" s="248"/>
      <c r="AK89" s="248"/>
      <c r="AL89" s="248"/>
      <c r="AM89" s="248"/>
      <c r="AN89" s="293">
        <f t="shared" si="8"/>
        <v>89</v>
      </c>
      <c r="AO89" s="248"/>
      <c r="AP89" s="290">
        <f ca="1">OFFSET('Calc.U.Uncertainty'!$A$1,U89-1,AN89-1)</f>
        <v>0.57660465116279069</v>
      </c>
      <c r="AQ89" s="291"/>
      <c r="AR89" s="291"/>
      <c r="AS89" s="291"/>
      <c r="AT89" s="292"/>
      <c r="AU89" s="249"/>
    </row>
    <row r="90" spans="1:47" s="250" customFormat="1" ht="10.199999999999999" hidden="1" outlineLevel="1">
      <c r="A90" s="238"/>
      <c r="B90" s="238"/>
      <c r="D90" s="238"/>
      <c r="E90" s="238"/>
      <c r="F90" s="238"/>
      <c r="G90" s="238"/>
      <c r="H90" s="238"/>
      <c r="I90" s="238"/>
      <c r="J90" s="238"/>
      <c r="K90" s="238"/>
      <c r="L90" s="251"/>
      <c r="M90" s="294" t="str">
        <f t="shared" si="4"/>
        <v>C.A.011</v>
      </c>
      <c r="N90" s="248"/>
      <c r="O90" s="248"/>
      <c r="P90" s="248"/>
      <c r="Q90" s="248"/>
      <c r="R90" s="248"/>
      <c r="S90" s="248"/>
      <c r="T90" s="248"/>
      <c r="U90" s="293">
        <f>U198</f>
        <v>275</v>
      </c>
      <c r="V90" s="248"/>
      <c r="W90" s="248"/>
      <c r="X90" s="295" t="s">
        <v>711</v>
      </c>
      <c r="Y90" s="248"/>
      <c r="Z90" s="248"/>
      <c r="AA90" s="248"/>
      <c r="AB90" s="248"/>
      <c r="AC90" s="248"/>
      <c r="AD90" s="248"/>
      <c r="AE90" s="248"/>
      <c r="AF90" s="248"/>
      <c r="AG90" s="248"/>
      <c r="AH90" s="248"/>
      <c r="AI90" s="248"/>
      <c r="AJ90" s="248"/>
      <c r="AK90" s="248"/>
      <c r="AL90" s="248"/>
      <c r="AM90" s="248"/>
      <c r="AN90" s="293">
        <f t="shared" si="8"/>
        <v>89</v>
      </c>
      <c r="AO90" s="248"/>
      <c r="AP90" s="290">
        <f ca="1">OFFSET('Calc.U.Uncertainty'!$A$1,U90-1,AN90-1)</f>
        <v>0.3948920863309352</v>
      </c>
      <c r="AQ90" s="291"/>
      <c r="AR90" s="291"/>
      <c r="AS90" s="291"/>
      <c r="AT90" s="292"/>
      <c r="AU90" s="249"/>
    </row>
    <row r="91" spans="1:47" s="250" customFormat="1" ht="10.199999999999999" hidden="1" outlineLevel="1">
      <c r="A91" s="238"/>
      <c r="B91" s="238"/>
      <c r="D91" s="238"/>
      <c r="E91" s="238"/>
      <c r="F91" s="238"/>
      <c r="G91" s="238"/>
      <c r="H91" s="238"/>
      <c r="I91" s="238"/>
      <c r="J91" s="238"/>
      <c r="K91" s="238"/>
      <c r="L91" s="251"/>
      <c r="M91" s="294" t="str">
        <f t="shared" si="4"/>
        <v>C.A.012</v>
      </c>
      <c r="N91" s="248"/>
      <c r="O91" s="248"/>
      <c r="P91" s="248"/>
      <c r="Q91" s="248"/>
      <c r="R91" s="248"/>
      <c r="S91" s="248"/>
      <c r="T91" s="248"/>
      <c r="U91" s="293">
        <f>U199</f>
        <v>276</v>
      </c>
      <c r="V91" s="248"/>
      <c r="W91" s="248"/>
      <c r="X91" s="295" t="s">
        <v>711</v>
      </c>
      <c r="Y91" s="248"/>
      <c r="Z91" s="248"/>
      <c r="AA91" s="248"/>
      <c r="AB91" s="248"/>
      <c r="AC91" s="248"/>
      <c r="AD91" s="248"/>
      <c r="AE91" s="248"/>
      <c r="AF91" s="248"/>
      <c r="AG91" s="248"/>
      <c r="AH91" s="248"/>
      <c r="AI91" s="248"/>
      <c r="AJ91" s="248"/>
      <c r="AK91" s="248"/>
      <c r="AL91" s="248"/>
      <c r="AM91" s="248"/>
      <c r="AN91" s="293">
        <f t="shared" si="8"/>
        <v>89</v>
      </c>
      <c r="AO91" s="248"/>
      <c r="AP91" s="290">
        <f ca="1">OFFSET('Calc.U.Uncertainty'!$A$1,U91-1,AN91-1)</f>
        <v>0.28325</v>
      </c>
      <c r="AQ91" s="291"/>
      <c r="AR91" s="291"/>
      <c r="AS91" s="291"/>
      <c r="AT91" s="292"/>
      <c r="AU91" s="249"/>
    </row>
    <row r="92" spans="1:47" s="250" customFormat="1" ht="10.199999999999999" hidden="1" outlineLevel="1">
      <c r="A92" s="238"/>
      <c r="B92" s="238"/>
      <c r="D92" s="238"/>
      <c r="E92" s="238"/>
      <c r="F92" s="238"/>
      <c r="G92" s="238"/>
      <c r="H92" s="238"/>
      <c r="I92" s="238"/>
      <c r="J92" s="238"/>
      <c r="K92" s="238"/>
      <c r="L92" s="251"/>
      <c r="M92" s="294" t="str">
        <f t="shared" si="4"/>
        <v>C.A.001</v>
      </c>
      <c r="N92" s="248"/>
      <c r="O92" s="248"/>
      <c r="P92" s="248"/>
      <c r="Q92" s="248"/>
      <c r="R92" s="248"/>
      <c r="S92" s="248"/>
      <c r="T92" s="248"/>
      <c r="U92" s="293">
        <f>U68</f>
        <v>265</v>
      </c>
      <c r="V92" s="248"/>
      <c r="W92" s="248"/>
      <c r="X92" s="288" t="s">
        <v>2418</v>
      </c>
      <c r="Y92" s="248"/>
      <c r="Z92" s="248"/>
      <c r="AA92" s="248"/>
      <c r="AB92" s="248"/>
      <c r="AC92" s="248"/>
      <c r="AD92" s="248"/>
      <c r="AE92" s="248"/>
      <c r="AF92" s="248"/>
      <c r="AG92" s="248"/>
      <c r="AH92" s="248"/>
      <c r="AI92" s="248"/>
      <c r="AJ92" s="248"/>
      <c r="AK92" s="248"/>
      <c r="AL92" s="248"/>
      <c r="AM92" s="248"/>
      <c r="AN92" s="289">
        <f>MATCH(X92,'Calc.U.Uncertainty'!$1:$1,0)</f>
        <v>61</v>
      </c>
      <c r="AO92" s="248"/>
      <c r="AP92" s="290" t="str">
        <f ca="1">OFFSET('Calc.U.Uncertainty'!$A$1,U92-1,AN92-1)</f>
        <v>D</v>
      </c>
      <c r="AQ92" s="291"/>
      <c r="AR92" s="291"/>
      <c r="AS92" s="291"/>
      <c r="AT92" s="292"/>
      <c r="AU92" s="249"/>
    </row>
    <row r="93" spans="1:47" s="250" customFormat="1" ht="10.199999999999999" hidden="1" outlineLevel="1">
      <c r="A93" s="238"/>
      <c r="B93" s="238"/>
      <c r="D93" s="238"/>
      <c r="E93" s="238"/>
      <c r="F93" s="238"/>
      <c r="G93" s="238"/>
      <c r="H93" s="238"/>
      <c r="I93" s="238"/>
      <c r="J93" s="238"/>
      <c r="K93" s="238"/>
      <c r="L93" s="251"/>
      <c r="M93" s="294" t="str">
        <f t="shared" si="4"/>
        <v>C.A.002</v>
      </c>
      <c r="N93" s="248"/>
      <c r="O93" s="248"/>
      <c r="P93" s="248"/>
      <c r="Q93" s="248"/>
      <c r="R93" s="248"/>
      <c r="S93" s="248"/>
      <c r="T93" s="248"/>
      <c r="U93" s="293">
        <f>U69</f>
        <v>266</v>
      </c>
      <c r="V93" s="248"/>
      <c r="W93" s="248"/>
      <c r="X93" s="295" t="s">
        <v>2418</v>
      </c>
      <c r="Y93" s="248"/>
      <c r="Z93" s="248"/>
      <c r="AA93" s="248"/>
      <c r="AB93" s="248"/>
      <c r="AC93" s="248"/>
      <c r="AD93" s="248"/>
      <c r="AE93" s="248"/>
      <c r="AF93" s="248"/>
      <c r="AG93" s="248"/>
      <c r="AH93" s="248"/>
      <c r="AI93" s="248"/>
      <c r="AJ93" s="248"/>
      <c r="AK93" s="248"/>
      <c r="AL93" s="248"/>
      <c r="AM93" s="248"/>
      <c r="AN93" s="293">
        <f t="shared" ref="AN93:AN103" si="9">AN92</f>
        <v>61</v>
      </c>
      <c r="AO93" s="248"/>
      <c r="AP93" s="290" t="str">
        <f ca="1">OFFSET('Calc.U.Uncertainty'!$A$1,U93-1,AN93-1)</f>
        <v>D</v>
      </c>
      <c r="AQ93" s="291"/>
      <c r="AR93" s="291"/>
      <c r="AS93" s="291"/>
      <c r="AT93" s="292"/>
      <c r="AU93" s="249"/>
    </row>
    <row r="94" spans="1:47" s="250" customFormat="1" ht="10.199999999999999" hidden="1" outlineLevel="1">
      <c r="A94" s="238"/>
      <c r="B94" s="238"/>
      <c r="D94" s="238"/>
      <c r="E94" s="238"/>
      <c r="F94" s="238"/>
      <c r="G94" s="238"/>
      <c r="H94" s="238"/>
      <c r="I94" s="238"/>
      <c r="J94" s="238"/>
      <c r="K94" s="238"/>
      <c r="L94" s="251"/>
      <c r="M94" s="294" t="str">
        <f t="shared" si="4"/>
        <v>C.A.003</v>
      </c>
      <c r="N94" s="248"/>
      <c r="O94" s="248"/>
      <c r="P94" s="248"/>
      <c r="Q94" s="248"/>
      <c r="R94" s="248"/>
      <c r="S94" s="248"/>
      <c r="T94" s="248"/>
      <c r="U94" s="293">
        <f>U70</f>
        <v>267</v>
      </c>
      <c r="V94" s="248"/>
      <c r="W94" s="248"/>
      <c r="X94" s="295" t="s">
        <v>2418</v>
      </c>
      <c r="Y94" s="248"/>
      <c r="Z94" s="248"/>
      <c r="AA94" s="248"/>
      <c r="AB94" s="248"/>
      <c r="AC94" s="248"/>
      <c r="AD94" s="248"/>
      <c r="AE94" s="248"/>
      <c r="AF94" s="248"/>
      <c r="AG94" s="248"/>
      <c r="AH94" s="248"/>
      <c r="AI94" s="248"/>
      <c r="AJ94" s="248"/>
      <c r="AK94" s="248"/>
      <c r="AL94" s="248"/>
      <c r="AM94" s="248"/>
      <c r="AN94" s="293">
        <f t="shared" si="9"/>
        <v>61</v>
      </c>
      <c r="AO94" s="248"/>
      <c r="AP94" s="290" t="str">
        <f ca="1">OFFSET('Calc.U.Uncertainty'!$A$1,U94-1,AN94-1)</f>
        <v>B</v>
      </c>
      <c r="AQ94" s="291"/>
      <c r="AR94" s="291"/>
      <c r="AS94" s="291"/>
      <c r="AT94" s="292"/>
      <c r="AU94" s="249"/>
    </row>
    <row r="95" spans="1:47" s="250" customFormat="1" ht="10.199999999999999" hidden="1" outlineLevel="1">
      <c r="A95" s="238"/>
      <c r="B95" s="238"/>
      <c r="D95" s="238"/>
      <c r="E95" s="238"/>
      <c r="F95" s="238"/>
      <c r="G95" s="238"/>
      <c r="H95" s="238"/>
      <c r="I95" s="238"/>
      <c r="J95" s="238"/>
      <c r="K95" s="238"/>
      <c r="L95" s="251"/>
      <c r="M95" s="294" t="str">
        <f t="shared" si="4"/>
        <v>C.A.004</v>
      </c>
      <c r="N95" s="248"/>
      <c r="O95" s="248"/>
      <c r="P95" s="248"/>
      <c r="Q95" s="248"/>
      <c r="R95" s="248"/>
      <c r="S95" s="248"/>
      <c r="T95" s="248"/>
      <c r="U95" s="293">
        <f>U71</f>
        <v>268</v>
      </c>
      <c r="V95" s="248"/>
      <c r="W95" s="248"/>
      <c r="X95" s="295" t="s">
        <v>2418</v>
      </c>
      <c r="Y95" s="248"/>
      <c r="Z95" s="248"/>
      <c r="AA95" s="248"/>
      <c r="AB95" s="248"/>
      <c r="AC95" s="248"/>
      <c r="AD95" s="248"/>
      <c r="AE95" s="248"/>
      <c r="AF95" s="248"/>
      <c r="AG95" s="248"/>
      <c r="AH95" s="248"/>
      <c r="AI95" s="248"/>
      <c r="AJ95" s="248"/>
      <c r="AK95" s="248"/>
      <c r="AL95" s="248"/>
      <c r="AM95" s="248"/>
      <c r="AN95" s="293">
        <f t="shared" si="9"/>
        <v>61</v>
      </c>
      <c r="AO95" s="248"/>
      <c r="AP95" s="290" t="str">
        <f ca="1">OFFSET('Calc.U.Uncertainty'!$A$1,U95-1,AN95-1)</f>
        <v>D</v>
      </c>
      <c r="AQ95" s="291"/>
      <c r="AR95" s="291"/>
      <c r="AS95" s="291"/>
      <c r="AT95" s="292"/>
      <c r="AU95" s="249"/>
    </row>
    <row r="96" spans="1:47" s="250" customFormat="1" ht="10.199999999999999" hidden="1" outlineLevel="1">
      <c r="A96" s="238"/>
      <c r="B96" s="238"/>
      <c r="D96" s="238"/>
      <c r="E96" s="238"/>
      <c r="F96" s="238"/>
      <c r="G96" s="238"/>
      <c r="H96" s="238"/>
      <c r="I96" s="238"/>
      <c r="J96" s="238"/>
      <c r="K96" s="238"/>
      <c r="L96" s="251"/>
      <c r="M96" s="294" t="str">
        <f t="shared" si="4"/>
        <v>C.A.005</v>
      </c>
      <c r="N96" s="248"/>
      <c r="O96" s="248"/>
      <c r="P96" s="248"/>
      <c r="Q96" s="248"/>
      <c r="R96" s="248"/>
      <c r="S96" s="248"/>
      <c r="T96" s="248"/>
      <c r="U96" s="293">
        <f>U72</f>
        <v>269</v>
      </c>
      <c r="V96" s="248"/>
      <c r="W96" s="248"/>
      <c r="X96" s="295" t="s">
        <v>2418</v>
      </c>
      <c r="Y96" s="248"/>
      <c r="Z96" s="248"/>
      <c r="AA96" s="248"/>
      <c r="AB96" s="248"/>
      <c r="AC96" s="248"/>
      <c r="AD96" s="248"/>
      <c r="AE96" s="248"/>
      <c r="AF96" s="248"/>
      <c r="AG96" s="248"/>
      <c r="AH96" s="248"/>
      <c r="AI96" s="248"/>
      <c r="AJ96" s="248"/>
      <c r="AK96" s="248"/>
      <c r="AL96" s="248"/>
      <c r="AM96" s="248"/>
      <c r="AN96" s="293">
        <f t="shared" si="9"/>
        <v>61</v>
      </c>
      <c r="AO96" s="248"/>
      <c r="AP96" s="290" t="str">
        <f ca="1">OFFSET('Calc.U.Uncertainty'!$A$1,U96-1,AN96-1)</f>
        <v>D</v>
      </c>
      <c r="AQ96" s="291"/>
      <c r="AR96" s="291"/>
      <c r="AS96" s="291"/>
      <c r="AT96" s="292"/>
      <c r="AU96" s="249"/>
    </row>
    <row r="97" spans="1:47" s="250" customFormat="1" ht="10.199999999999999" hidden="1" outlineLevel="1">
      <c r="A97" s="238"/>
      <c r="B97" s="238"/>
      <c r="D97" s="238"/>
      <c r="E97" s="238"/>
      <c r="F97" s="238"/>
      <c r="G97" s="238"/>
      <c r="H97" s="238"/>
      <c r="I97" s="238"/>
      <c r="J97" s="238"/>
      <c r="K97" s="238"/>
      <c r="L97" s="251"/>
      <c r="M97" s="294" t="str">
        <f t="shared" si="4"/>
        <v>C.A.006</v>
      </c>
      <c r="N97" s="248"/>
      <c r="O97" s="248"/>
      <c r="P97" s="248"/>
      <c r="Q97" s="248"/>
      <c r="R97" s="248"/>
      <c r="S97" s="248"/>
      <c r="T97" s="248"/>
      <c r="U97" s="293">
        <f>U73</f>
        <v>270</v>
      </c>
      <c r="V97" s="248"/>
      <c r="W97" s="248"/>
      <c r="X97" s="295" t="s">
        <v>2418</v>
      </c>
      <c r="Y97" s="248"/>
      <c r="Z97" s="248"/>
      <c r="AA97" s="248"/>
      <c r="AB97" s="248"/>
      <c r="AC97" s="248"/>
      <c r="AD97" s="248"/>
      <c r="AE97" s="248"/>
      <c r="AF97" s="248"/>
      <c r="AG97" s="248"/>
      <c r="AH97" s="248"/>
      <c r="AI97" s="248"/>
      <c r="AJ97" s="248"/>
      <c r="AK97" s="248"/>
      <c r="AL97" s="248"/>
      <c r="AM97" s="248"/>
      <c r="AN97" s="293">
        <f t="shared" si="9"/>
        <v>61</v>
      </c>
      <c r="AO97" s="248"/>
      <c r="AP97" s="290" t="str">
        <f ca="1">OFFSET('Calc.U.Uncertainty'!$A$1,U97-1,AN97-1)</f>
        <v>D</v>
      </c>
      <c r="AQ97" s="291"/>
      <c r="AR97" s="291"/>
      <c r="AS97" s="291"/>
      <c r="AT97" s="292"/>
      <c r="AU97" s="249"/>
    </row>
    <row r="98" spans="1:47" s="250" customFormat="1" ht="10.199999999999999" hidden="1" outlineLevel="1">
      <c r="A98" s="238"/>
      <c r="B98" s="238"/>
      <c r="D98" s="238"/>
      <c r="E98" s="238"/>
      <c r="F98" s="238"/>
      <c r="G98" s="238"/>
      <c r="H98" s="238"/>
      <c r="I98" s="238"/>
      <c r="J98" s="238"/>
      <c r="K98" s="238"/>
      <c r="L98" s="251"/>
      <c r="M98" s="294" t="str">
        <f t="shared" si="4"/>
        <v>C.A.007</v>
      </c>
      <c r="N98" s="248"/>
      <c r="O98" s="248"/>
      <c r="P98" s="248"/>
      <c r="Q98" s="248"/>
      <c r="R98" s="248"/>
      <c r="S98" s="248"/>
      <c r="T98" s="248"/>
      <c r="U98" s="293">
        <f>U74</f>
        <v>271</v>
      </c>
      <c r="V98" s="248"/>
      <c r="W98" s="248"/>
      <c r="X98" s="295" t="s">
        <v>2418</v>
      </c>
      <c r="Y98" s="248"/>
      <c r="Z98" s="248"/>
      <c r="AA98" s="248"/>
      <c r="AB98" s="248"/>
      <c r="AC98" s="248"/>
      <c r="AD98" s="248"/>
      <c r="AE98" s="248"/>
      <c r="AF98" s="248"/>
      <c r="AG98" s="248"/>
      <c r="AH98" s="248"/>
      <c r="AI98" s="248"/>
      <c r="AJ98" s="248"/>
      <c r="AK98" s="248"/>
      <c r="AL98" s="248"/>
      <c r="AM98" s="248"/>
      <c r="AN98" s="293">
        <f t="shared" si="9"/>
        <v>61</v>
      </c>
      <c r="AO98" s="248"/>
      <c r="AP98" s="290" t="str">
        <f ca="1">OFFSET('Calc.U.Uncertainty'!$A$1,U98-1,AN98-1)</f>
        <v>D</v>
      </c>
      <c r="AQ98" s="291"/>
      <c r="AR98" s="291"/>
      <c r="AS98" s="291"/>
      <c r="AT98" s="292"/>
      <c r="AU98" s="249"/>
    </row>
    <row r="99" spans="1:47" s="250" customFormat="1" ht="10.199999999999999" hidden="1" outlineLevel="1">
      <c r="A99" s="238"/>
      <c r="B99" s="238"/>
      <c r="D99" s="238"/>
      <c r="E99" s="238"/>
      <c r="F99" s="238"/>
      <c r="G99" s="238"/>
      <c r="H99" s="238"/>
      <c r="I99" s="238"/>
      <c r="J99" s="238"/>
      <c r="K99" s="238"/>
      <c r="L99" s="251"/>
      <c r="M99" s="294" t="str">
        <f t="shared" si="4"/>
        <v>C.A.008</v>
      </c>
      <c r="N99" s="248"/>
      <c r="O99" s="248"/>
      <c r="P99" s="248"/>
      <c r="Q99" s="248"/>
      <c r="R99" s="248"/>
      <c r="S99" s="248"/>
      <c r="T99" s="248"/>
      <c r="U99" s="293">
        <f>U75</f>
        <v>272</v>
      </c>
      <c r="V99" s="248"/>
      <c r="W99" s="248"/>
      <c r="X99" s="295" t="s">
        <v>2418</v>
      </c>
      <c r="Y99" s="248"/>
      <c r="Z99" s="248"/>
      <c r="AA99" s="248"/>
      <c r="AB99" s="248"/>
      <c r="AC99" s="248"/>
      <c r="AD99" s="248"/>
      <c r="AE99" s="248"/>
      <c r="AF99" s="248"/>
      <c r="AG99" s="248"/>
      <c r="AH99" s="248"/>
      <c r="AI99" s="248"/>
      <c r="AJ99" s="248"/>
      <c r="AK99" s="248"/>
      <c r="AL99" s="248"/>
      <c r="AM99" s="248"/>
      <c r="AN99" s="293">
        <f t="shared" si="9"/>
        <v>61</v>
      </c>
      <c r="AO99" s="248"/>
      <c r="AP99" s="290" t="str">
        <f ca="1">OFFSET('Calc.U.Uncertainty'!$A$1,U99-1,AN99-1)</f>
        <v>D</v>
      </c>
      <c r="AQ99" s="291"/>
      <c r="AR99" s="291"/>
      <c r="AS99" s="291"/>
      <c r="AT99" s="292"/>
      <c r="AU99" s="249"/>
    </row>
    <row r="100" spans="1:47" s="250" customFormat="1" ht="10.199999999999999" hidden="1" outlineLevel="1">
      <c r="A100" s="238"/>
      <c r="B100" s="238"/>
      <c r="D100" s="238"/>
      <c r="E100" s="238"/>
      <c r="F100" s="238"/>
      <c r="G100" s="238"/>
      <c r="H100" s="238"/>
      <c r="I100" s="238"/>
      <c r="J100" s="238"/>
      <c r="K100" s="238"/>
      <c r="L100" s="251"/>
      <c r="M100" s="294" t="str">
        <f t="shared" si="4"/>
        <v>C.A.009</v>
      </c>
      <c r="N100" s="248"/>
      <c r="O100" s="248"/>
      <c r="P100" s="248"/>
      <c r="Q100" s="248"/>
      <c r="R100" s="248"/>
      <c r="S100" s="248"/>
      <c r="T100" s="248"/>
      <c r="U100" s="293">
        <f>U76</f>
        <v>273</v>
      </c>
      <c r="V100" s="248"/>
      <c r="W100" s="248"/>
      <c r="X100" s="295" t="s">
        <v>2418</v>
      </c>
      <c r="Y100" s="248"/>
      <c r="Z100" s="248"/>
      <c r="AA100" s="248"/>
      <c r="AB100" s="248"/>
      <c r="AC100" s="248"/>
      <c r="AD100" s="248"/>
      <c r="AE100" s="248"/>
      <c r="AF100" s="248"/>
      <c r="AG100" s="248"/>
      <c r="AH100" s="248"/>
      <c r="AI100" s="248"/>
      <c r="AJ100" s="248"/>
      <c r="AK100" s="248"/>
      <c r="AL100" s="248"/>
      <c r="AM100" s="248"/>
      <c r="AN100" s="293">
        <f t="shared" si="9"/>
        <v>61</v>
      </c>
      <c r="AO100" s="248"/>
      <c r="AP100" s="290" t="str">
        <f ca="1">OFFSET('Calc.U.Uncertainty'!$A$1,U100-1,AN100-1)</f>
        <v>D</v>
      </c>
      <c r="AQ100" s="291"/>
      <c r="AR100" s="291"/>
      <c r="AS100" s="291"/>
      <c r="AT100" s="292"/>
      <c r="AU100" s="249"/>
    </row>
    <row r="101" spans="1:47" s="250" customFormat="1" ht="10.199999999999999" hidden="1" outlineLevel="1">
      <c r="A101" s="238"/>
      <c r="B101" s="238"/>
      <c r="D101" s="238"/>
      <c r="E101" s="238"/>
      <c r="F101" s="238"/>
      <c r="G101" s="238"/>
      <c r="H101" s="238"/>
      <c r="I101" s="238"/>
      <c r="J101" s="238"/>
      <c r="K101" s="238"/>
      <c r="L101" s="251"/>
      <c r="M101" s="294" t="str">
        <f t="shared" si="4"/>
        <v>C.A.010</v>
      </c>
      <c r="N101" s="248"/>
      <c r="O101" s="248"/>
      <c r="P101" s="248"/>
      <c r="Q101" s="248"/>
      <c r="R101" s="248"/>
      <c r="S101" s="248"/>
      <c r="T101" s="248"/>
      <c r="U101" s="293">
        <f>U77</f>
        <v>274</v>
      </c>
      <c r="V101" s="248"/>
      <c r="W101" s="248"/>
      <c r="X101" s="295" t="s">
        <v>2418</v>
      </c>
      <c r="Y101" s="248"/>
      <c r="Z101" s="248"/>
      <c r="AA101" s="248"/>
      <c r="AB101" s="248"/>
      <c r="AC101" s="248"/>
      <c r="AD101" s="248"/>
      <c r="AE101" s="248"/>
      <c r="AF101" s="248"/>
      <c r="AG101" s="248"/>
      <c r="AH101" s="248"/>
      <c r="AI101" s="248"/>
      <c r="AJ101" s="248"/>
      <c r="AK101" s="248"/>
      <c r="AL101" s="248"/>
      <c r="AM101" s="248"/>
      <c r="AN101" s="293">
        <f t="shared" si="9"/>
        <v>61</v>
      </c>
      <c r="AO101" s="248"/>
      <c r="AP101" s="290" t="str">
        <f ca="1">OFFSET('Calc.U.Uncertainty'!$A$1,U101-1,AN101-1)</f>
        <v>D</v>
      </c>
      <c r="AQ101" s="291"/>
      <c r="AR101" s="291"/>
      <c r="AS101" s="291"/>
      <c r="AT101" s="292"/>
      <c r="AU101" s="249"/>
    </row>
    <row r="102" spans="1:47" s="250" customFormat="1" ht="10.199999999999999" hidden="1" outlineLevel="1">
      <c r="A102" s="238"/>
      <c r="B102" s="238"/>
      <c r="D102" s="238"/>
      <c r="E102" s="238"/>
      <c r="F102" s="238"/>
      <c r="G102" s="238"/>
      <c r="H102" s="238"/>
      <c r="I102" s="238"/>
      <c r="J102" s="238"/>
      <c r="K102" s="238"/>
      <c r="L102" s="251"/>
      <c r="M102" s="294" t="str">
        <f t="shared" si="4"/>
        <v>C.A.011</v>
      </c>
      <c r="N102" s="248"/>
      <c r="O102" s="248"/>
      <c r="P102" s="248"/>
      <c r="Q102" s="248"/>
      <c r="R102" s="248"/>
      <c r="S102" s="248"/>
      <c r="T102" s="248"/>
      <c r="U102" s="293">
        <f>U78</f>
        <v>275</v>
      </c>
      <c r="V102" s="248"/>
      <c r="W102" s="248"/>
      <c r="X102" s="295" t="s">
        <v>2418</v>
      </c>
      <c r="Y102" s="248"/>
      <c r="Z102" s="248"/>
      <c r="AA102" s="248"/>
      <c r="AB102" s="248"/>
      <c r="AC102" s="248"/>
      <c r="AD102" s="248"/>
      <c r="AE102" s="248"/>
      <c r="AF102" s="248"/>
      <c r="AG102" s="248"/>
      <c r="AH102" s="248"/>
      <c r="AI102" s="248"/>
      <c r="AJ102" s="248"/>
      <c r="AK102" s="248"/>
      <c r="AL102" s="248"/>
      <c r="AM102" s="248"/>
      <c r="AN102" s="293">
        <f t="shared" si="9"/>
        <v>61</v>
      </c>
      <c r="AO102" s="248"/>
      <c r="AP102" s="290" t="str">
        <f ca="1">OFFSET('Calc.U.Uncertainty'!$A$1,U102-1,AN102-1)</f>
        <v>D</v>
      </c>
      <c r="AQ102" s="291"/>
      <c r="AR102" s="291"/>
      <c r="AS102" s="291"/>
      <c r="AT102" s="292"/>
      <c r="AU102" s="249"/>
    </row>
    <row r="103" spans="1:47" s="250" customFormat="1" ht="10.199999999999999" hidden="1" outlineLevel="1">
      <c r="A103" s="238"/>
      <c r="B103" s="238"/>
      <c r="D103" s="238"/>
      <c r="E103" s="238"/>
      <c r="F103" s="238"/>
      <c r="G103" s="238"/>
      <c r="H103" s="238"/>
      <c r="I103" s="238"/>
      <c r="J103" s="238"/>
      <c r="K103" s="238"/>
      <c r="L103" s="251"/>
      <c r="M103" s="294" t="str">
        <f t="shared" si="4"/>
        <v>C.A.012</v>
      </c>
      <c r="N103" s="248"/>
      <c r="O103" s="248"/>
      <c r="P103" s="248"/>
      <c r="Q103" s="248"/>
      <c r="R103" s="248"/>
      <c r="S103" s="248"/>
      <c r="T103" s="248"/>
      <c r="U103" s="293">
        <f>U79</f>
        <v>276</v>
      </c>
      <c r="V103" s="248"/>
      <c r="W103" s="248"/>
      <c r="X103" s="295" t="s">
        <v>2418</v>
      </c>
      <c r="Y103" s="248"/>
      <c r="Z103" s="248"/>
      <c r="AA103" s="248"/>
      <c r="AB103" s="248"/>
      <c r="AC103" s="248"/>
      <c r="AD103" s="248"/>
      <c r="AE103" s="248"/>
      <c r="AF103" s="248"/>
      <c r="AG103" s="248"/>
      <c r="AH103" s="248"/>
      <c r="AI103" s="248"/>
      <c r="AJ103" s="248"/>
      <c r="AK103" s="248"/>
      <c r="AL103" s="248"/>
      <c r="AM103" s="248"/>
      <c r="AN103" s="293">
        <f t="shared" si="9"/>
        <v>61</v>
      </c>
      <c r="AO103" s="248"/>
      <c r="AP103" s="290" t="str">
        <f ca="1">OFFSET('Calc.U.Uncertainty'!$A$1,U103-1,AN103-1)</f>
        <v>D</v>
      </c>
      <c r="AQ103" s="291"/>
      <c r="AR103" s="291"/>
      <c r="AS103" s="291"/>
      <c r="AT103" s="292"/>
      <c r="AU103" s="249"/>
    </row>
    <row r="104" spans="1:47" s="250" customFormat="1" ht="10.199999999999999" hidden="1" outlineLevel="1">
      <c r="A104" s="238"/>
      <c r="B104" s="238"/>
      <c r="D104" s="238"/>
      <c r="E104" s="238"/>
      <c r="F104" s="238"/>
      <c r="G104" s="238"/>
      <c r="H104" s="238"/>
      <c r="I104" s="238"/>
      <c r="J104" s="238"/>
      <c r="K104" s="238"/>
      <c r="L104" s="251"/>
      <c r="M104" s="294" t="str">
        <f t="shared" si="4"/>
        <v>C.A.001</v>
      </c>
      <c r="N104" s="248"/>
      <c r="O104" s="248"/>
      <c r="P104" s="248"/>
      <c r="Q104" s="248"/>
      <c r="R104" s="248"/>
      <c r="S104" s="248"/>
      <c r="T104" s="248"/>
      <c r="U104" s="293">
        <f t="shared" si="5"/>
        <v>265</v>
      </c>
      <c r="V104" s="248"/>
      <c r="W104" s="248"/>
      <c r="X104" s="288" t="s">
        <v>517</v>
      </c>
      <c r="Y104" s="248"/>
      <c r="Z104" s="248"/>
      <c r="AA104" s="248"/>
      <c r="AB104" s="248"/>
      <c r="AC104" s="248"/>
      <c r="AD104" s="248"/>
      <c r="AE104" s="248"/>
      <c r="AF104" s="248"/>
      <c r="AG104" s="248"/>
      <c r="AH104" s="248"/>
      <c r="AI104" s="248"/>
      <c r="AJ104" s="248"/>
      <c r="AK104" s="248"/>
      <c r="AL104" s="248"/>
      <c r="AM104" s="248"/>
      <c r="AN104" s="289">
        <f>MATCH(X104,'Calc.U.Uncertainty'!$1:$1,0)</f>
        <v>71</v>
      </c>
      <c r="AO104" s="248"/>
      <c r="AP104" s="290" t="str">
        <f ca="1">OFFSET('Calc.U.Uncertainty'!$A$1,U104-1,AN104-1)</f>
        <v>E</v>
      </c>
      <c r="AQ104" s="291"/>
      <c r="AR104" s="291"/>
      <c r="AS104" s="291"/>
      <c r="AT104" s="292"/>
      <c r="AU104" s="249"/>
    </row>
    <row r="105" spans="1:47" s="250" customFormat="1" ht="10.199999999999999" hidden="1" outlineLevel="1">
      <c r="A105" s="238"/>
      <c r="B105" s="238"/>
      <c r="D105" s="238"/>
      <c r="E105" s="238"/>
      <c r="F105" s="238"/>
      <c r="G105" s="238"/>
      <c r="H105" s="238"/>
      <c r="I105" s="238"/>
      <c r="J105" s="238"/>
      <c r="K105" s="238"/>
      <c r="L105" s="251"/>
      <c r="M105" s="294" t="str">
        <f t="shared" si="4"/>
        <v>C.A.002</v>
      </c>
      <c r="N105" s="248"/>
      <c r="O105" s="248"/>
      <c r="P105" s="248"/>
      <c r="Q105" s="248"/>
      <c r="R105" s="248"/>
      <c r="S105" s="248"/>
      <c r="T105" s="248"/>
      <c r="U105" s="293">
        <f t="shared" si="5"/>
        <v>266</v>
      </c>
      <c r="V105" s="248"/>
      <c r="W105" s="248"/>
      <c r="X105" s="295" t="s">
        <v>517</v>
      </c>
      <c r="Y105" s="248"/>
      <c r="Z105" s="248"/>
      <c r="AA105" s="248"/>
      <c r="AB105" s="248"/>
      <c r="AC105" s="248"/>
      <c r="AD105" s="248"/>
      <c r="AE105" s="248"/>
      <c r="AF105" s="248"/>
      <c r="AG105" s="248"/>
      <c r="AH105" s="248"/>
      <c r="AI105" s="248"/>
      <c r="AJ105" s="248"/>
      <c r="AK105" s="248"/>
      <c r="AL105" s="248"/>
      <c r="AM105" s="248"/>
      <c r="AN105" s="293">
        <f t="shared" ref="AN105:AN115" si="10">AN104</f>
        <v>71</v>
      </c>
      <c r="AO105" s="248"/>
      <c r="AP105" s="290" t="str">
        <f ca="1">OFFSET('Calc.U.Uncertainty'!$A$1,U105-1,AN105-1)</f>
        <v>E</v>
      </c>
      <c r="AQ105" s="291"/>
      <c r="AR105" s="291"/>
      <c r="AS105" s="291"/>
      <c r="AT105" s="292"/>
      <c r="AU105" s="249"/>
    </row>
    <row r="106" spans="1:47" s="250" customFormat="1" ht="10.199999999999999" hidden="1" outlineLevel="1">
      <c r="A106" s="238"/>
      <c r="B106" s="238"/>
      <c r="D106" s="238"/>
      <c r="E106" s="238"/>
      <c r="F106" s="238"/>
      <c r="G106" s="238"/>
      <c r="H106" s="238"/>
      <c r="I106" s="238"/>
      <c r="J106" s="238"/>
      <c r="K106" s="238"/>
      <c r="L106" s="251"/>
      <c r="M106" s="294" t="str">
        <f t="shared" si="4"/>
        <v>C.A.003</v>
      </c>
      <c r="N106" s="248"/>
      <c r="O106" s="248"/>
      <c r="P106" s="248"/>
      <c r="Q106" s="248"/>
      <c r="R106" s="248"/>
      <c r="S106" s="248"/>
      <c r="T106" s="248"/>
      <c r="U106" s="293">
        <f t="shared" si="5"/>
        <v>267</v>
      </c>
      <c r="V106" s="248"/>
      <c r="W106" s="248"/>
      <c r="X106" s="295" t="s">
        <v>517</v>
      </c>
      <c r="Y106" s="248"/>
      <c r="Z106" s="248"/>
      <c r="AA106" s="248"/>
      <c r="AB106" s="248"/>
      <c r="AC106" s="248"/>
      <c r="AD106" s="248"/>
      <c r="AE106" s="248"/>
      <c r="AF106" s="248"/>
      <c r="AG106" s="248"/>
      <c r="AH106" s="248"/>
      <c r="AI106" s="248"/>
      <c r="AJ106" s="248"/>
      <c r="AK106" s="248"/>
      <c r="AL106" s="248"/>
      <c r="AM106" s="248"/>
      <c r="AN106" s="293">
        <f t="shared" si="10"/>
        <v>71</v>
      </c>
      <c r="AO106" s="248"/>
      <c r="AP106" s="290" t="str">
        <f ca="1">OFFSET('Calc.U.Uncertainty'!$A$1,U106-1,AN106-1)</f>
        <v>E</v>
      </c>
      <c r="AQ106" s="291"/>
      <c r="AR106" s="291"/>
      <c r="AS106" s="291"/>
      <c r="AT106" s="292"/>
      <c r="AU106" s="249"/>
    </row>
    <row r="107" spans="1:47" s="250" customFormat="1" ht="10.199999999999999" hidden="1" outlineLevel="1">
      <c r="A107" s="238"/>
      <c r="B107" s="238"/>
      <c r="D107" s="238"/>
      <c r="E107" s="238"/>
      <c r="F107" s="238"/>
      <c r="G107" s="238"/>
      <c r="H107" s="238"/>
      <c r="I107" s="238"/>
      <c r="J107" s="238"/>
      <c r="K107" s="238"/>
      <c r="L107" s="251"/>
      <c r="M107" s="294" t="str">
        <f t="shared" si="4"/>
        <v>C.A.004</v>
      </c>
      <c r="N107" s="248"/>
      <c r="O107" s="248"/>
      <c r="P107" s="248"/>
      <c r="Q107" s="248"/>
      <c r="R107" s="248"/>
      <c r="S107" s="248"/>
      <c r="T107" s="248"/>
      <c r="U107" s="293">
        <f t="shared" si="5"/>
        <v>268</v>
      </c>
      <c r="V107" s="248"/>
      <c r="W107" s="248"/>
      <c r="X107" s="295" t="s">
        <v>517</v>
      </c>
      <c r="Y107" s="248"/>
      <c r="Z107" s="248"/>
      <c r="AA107" s="248"/>
      <c r="AB107" s="248"/>
      <c r="AC107" s="248"/>
      <c r="AD107" s="248"/>
      <c r="AE107" s="248"/>
      <c r="AF107" s="248"/>
      <c r="AG107" s="248"/>
      <c r="AH107" s="248"/>
      <c r="AI107" s="248"/>
      <c r="AJ107" s="248"/>
      <c r="AK107" s="248"/>
      <c r="AL107" s="248"/>
      <c r="AM107" s="248"/>
      <c r="AN107" s="293">
        <f t="shared" si="10"/>
        <v>71</v>
      </c>
      <c r="AO107" s="248"/>
      <c r="AP107" s="290" t="str">
        <f ca="1">OFFSET('Calc.U.Uncertainty'!$A$1,U107-1,AN107-1)</f>
        <v>C</v>
      </c>
      <c r="AQ107" s="291"/>
      <c r="AR107" s="291"/>
      <c r="AS107" s="291"/>
      <c r="AT107" s="292"/>
      <c r="AU107" s="249"/>
    </row>
    <row r="108" spans="1:47" s="250" customFormat="1" ht="10.199999999999999" hidden="1" outlineLevel="1">
      <c r="A108" s="238"/>
      <c r="B108" s="238"/>
      <c r="D108" s="238"/>
      <c r="E108" s="238"/>
      <c r="F108" s="238"/>
      <c r="G108" s="238"/>
      <c r="H108" s="238"/>
      <c r="I108" s="238"/>
      <c r="J108" s="238"/>
      <c r="K108" s="238"/>
      <c r="L108" s="251"/>
      <c r="M108" s="294" t="str">
        <f t="shared" si="4"/>
        <v>C.A.005</v>
      </c>
      <c r="N108" s="248"/>
      <c r="O108" s="248"/>
      <c r="P108" s="248"/>
      <c r="Q108" s="248"/>
      <c r="R108" s="248"/>
      <c r="S108" s="248"/>
      <c r="T108" s="248"/>
      <c r="U108" s="293">
        <f t="shared" si="5"/>
        <v>269</v>
      </c>
      <c r="V108" s="248"/>
      <c r="W108" s="248"/>
      <c r="X108" s="295" t="s">
        <v>517</v>
      </c>
      <c r="Y108" s="248"/>
      <c r="Z108" s="248"/>
      <c r="AA108" s="248"/>
      <c r="AB108" s="248"/>
      <c r="AC108" s="248"/>
      <c r="AD108" s="248"/>
      <c r="AE108" s="248"/>
      <c r="AF108" s="248"/>
      <c r="AG108" s="248"/>
      <c r="AH108" s="248"/>
      <c r="AI108" s="248"/>
      <c r="AJ108" s="248"/>
      <c r="AK108" s="248"/>
      <c r="AL108" s="248"/>
      <c r="AM108" s="248"/>
      <c r="AN108" s="293">
        <f t="shared" si="10"/>
        <v>71</v>
      </c>
      <c r="AO108" s="248"/>
      <c r="AP108" s="290" t="str">
        <f ca="1">OFFSET('Calc.U.Uncertainty'!$A$1,U108-1,AN108-1)</f>
        <v>C</v>
      </c>
      <c r="AQ108" s="291"/>
      <c r="AR108" s="291"/>
      <c r="AS108" s="291"/>
      <c r="AT108" s="292"/>
      <c r="AU108" s="249"/>
    </row>
    <row r="109" spans="1:47" s="250" customFormat="1" ht="10.199999999999999" hidden="1" outlineLevel="1">
      <c r="A109" s="238"/>
      <c r="B109" s="238"/>
      <c r="D109" s="238"/>
      <c r="E109" s="238"/>
      <c r="F109" s="238"/>
      <c r="G109" s="238"/>
      <c r="H109" s="238"/>
      <c r="I109" s="238"/>
      <c r="J109" s="238"/>
      <c r="K109" s="238"/>
      <c r="L109" s="251"/>
      <c r="M109" s="294" t="str">
        <f t="shared" si="4"/>
        <v>C.A.006</v>
      </c>
      <c r="N109" s="248"/>
      <c r="O109" s="248"/>
      <c r="P109" s="248"/>
      <c r="Q109" s="248"/>
      <c r="R109" s="248"/>
      <c r="S109" s="248"/>
      <c r="T109" s="248"/>
      <c r="U109" s="293">
        <f t="shared" si="5"/>
        <v>270</v>
      </c>
      <c r="V109" s="248"/>
      <c r="W109" s="248"/>
      <c r="X109" s="295" t="s">
        <v>517</v>
      </c>
      <c r="Y109" s="248"/>
      <c r="Z109" s="248"/>
      <c r="AA109" s="248"/>
      <c r="AB109" s="248"/>
      <c r="AC109" s="248"/>
      <c r="AD109" s="248"/>
      <c r="AE109" s="248"/>
      <c r="AF109" s="248"/>
      <c r="AG109" s="248"/>
      <c r="AH109" s="248"/>
      <c r="AI109" s="248"/>
      <c r="AJ109" s="248"/>
      <c r="AK109" s="248"/>
      <c r="AL109" s="248"/>
      <c r="AM109" s="248"/>
      <c r="AN109" s="293">
        <f t="shared" si="10"/>
        <v>71</v>
      </c>
      <c r="AO109" s="248"/>
      <c r="AP109" s="290" t="str">
        <f ca="1">OFFSET('Calc.U.Uncertainty'!$A$1,U109-1,AN109-1)</f>
        <v>B</v>
      </c>
      <c r="AQ109" s="291"/>
      <c r="AR109" s="291"/>
      <c r="AS109" s="291"/>
      <c r="AT109" s="292"/>
      <c r="AU109" s="249"/>
    </row>
    <row r="110" spans="1:47" s="250" customFormat="1" ht="10.199999999999999" hidden="1" outlineLevel="1">
      <c r="A110" s="238"/>
      <c r="B110" s="238"/>
      <c r="D110" s="238"/>
      <c r="E110" s="238"/>
      <c r="F110" s="238"/>
      <c r="G110" s="238"/>
      <c r="H110" s="238"/>
      <c r="I110" s="238"/>
      <c r="J110" s="238"/>
      <c r="K110" s="238"/>
      <c r="L110" s="251"/>
      <c r="M110" s="294" t="str">
        <f t="shared" si="4"/>
        <v>C.A.007</v>
      </c>
      <c r="N110" s="248"/>
      <c r="O110" s="248"/>
      <c r="P110" s="248"/>
      <c r="Q110" s="248"/>
      <c r="R110" s="248"/>
      <c r="S110" s="248"/>
      <c r="T110" s="248"/>
      <c r="U110" s="293">
        <f t="shared" si="5"/>
        <v>271</v>
      </c>
      <c r="V110" s="248"/>
      <c r="W110" s="248"/>
      <c r="X110" s="295" t="s">
        <v>517</v>
      </c>
      <c r="Y110" s="248"/>
      <c r="Z110" s="248"/>
      <c r="AA110" s="248"/>
      <c r="AB110" s="248"/>
      <c r="AC110" s="248"/>
      <c r="AD110" s="248"/>
      <c r="AE110" s="248"/>
      <c r="AF110" s="248"/>
      <c r="AG110" s="248"/>
      <c r="AH110" s="248"/>
      <c r="AI110" s="248"/>
      <c r="AJ110" s="248"/>
      <c r="AK110" s="248"/>
      <c r="AL110" s="248"/>
      <c r="AM110" s="248"/>
      <c r="AN110" s="293">
        <f t="shared" si="10"/>
        <v>71</v>
      </c>
      <c r="AO110" s="248"/>
      <c r="AP110" s="290" t="str">
        <f ca="1">OFFSET('Calc.U.Uncertainty'!$A$1,U110-1,AN110-1)</f>
        <v>A</v>
      </c>
      <c r="AQ110" s="291"/>
      <c r="AR110" s="291"/>
      <c r="AS110" s="291"/>
      <c r="AT110" s="292"/>
      <c r="AU110" s="249"/>
    </row>
    <row r="111" spans="1:47" s="250" customFormat="1" ht="10.199999999999999" hidden="1" outlineLevel="1">
      <c r="A111" s="238"/>
      <c r="B111" s="238"/>
      <c r="D111" s="238"/>
      <c r="E111" s="238"/>
      <c r="F111" s="238"/>
      <c r="G111" s="238"/>
      <c r="H111" s="238"/>
      <c r="I111" s="238"/>
      <c r="J111" s="238"/>
      <c r="K111" s="238"/>
      <c r="L111" s="251"/>
      <c r="M111" s="294" t="str">
        <f t="shared" si="4"/>
        <v>C.A.008</v>
      </c>
      <c r="N111" s="248"/>
      <c r="O111" s="248"/>
      <c r="P111" s="248"/>
      <c r="Q111" s="248"/>
      <c r="R111" s="248"/>
      <c r="S111" s="248"/>
      <c r="T111" s="248"/>
      <c r="U111" s="293">
        <f t="shared" si="5"/>
        <v>272</v>
      </c>
      <c r="V111" s="248"/>
      <c r="W111" s="248"/>
      <c r="X111" s="295" t="s">
        <v>517</v>
      </c>
      <c r="Y111" s="248"/>
      <c r="Z111" s="248"/>
      <c r="AA111" s="248"/>
      <c r="AB111" s="248"/>
      <c r="AC111" s="248"/>
      <c r="AD111" s="248"/>
      <c r="AE111" s="248"/>
      <c r="AF111" s="248"/>
      <c r="AG111" s="248"/>
      <c r="AH111" s="248"/>
      <c r="AI111" s="248"/>
      <c r="AJ111" s="248"/>
      <c r="AK111" s="248"/>
      <c r="AL111" s="248"/>
      <c r="AM111" s="248"/>
      <c r="AN111" s="293">
        <f t="shared" si="10"/>
        <v>71</v>
      </c>
      <c r="AO111" s="248"/>
      <c r="AP111" s="290" t="str">
        <f ca="1">OFFSET('Calc.U.Uncertainty'!$A$1,U111-1,AN111-1)</f>
        <v>C</v>
      </c>
      <c r="AQ111" s="291"/>
      <c r="AR111" s="291"/>
      <c r="AS111" s="291"/>
      <c r="AT111" s="292"/>
      <c r="AU111" s="249"/>
    </row>
    <row r="112" spans="1:47" s="250" customFormat="1" ht="10.199999999999999" hidden="1" outlineLevel="1">
      <c r="A112" s="238"/>
      <c r="B112" s="238"/>
      <c r="D112" s="238"/>
      <c r="E112" s="238"/>
      <c r="F112" s="238"/>
      <c r="G112" s="238"/>
      <c r="H112" s="238"/>
      <c r="I112" s="238"/>
      <c r="J112" s="238"/>
      <c r="K112" s="238"/>
      <c r="L112" s="251"/>
      <c r="M112" s="294" t="str">
        <f t="shared" si="4"/>
        <v>C.A.009</v>
      </c>
      <c r="N112" s="248"/>
      <c r="O112" s="248"/>
      <c r="P112" s="248"/>
      <c r="Q112" s="248"/>
      <c r="R112" s="248"/>
      <c r="S112" s="248"/>
      <c r="T112" s="248"/>
      <c r="U112" s="293">
        <f t="shared" si="5"/>
        <v>273</v>
      </c>
      <c r="V112" s="248"/>
      <c r="W112" s="248"/>
      <c r="X112" s="295" t="s">
        <v>517</v>
      </c>
      <c r="Y112" s="248"/>
      <c r="Z112" s="248"/>
      <c r="AA112" s="248"/>
      <c r="AB112" s="248"/>
      <c r="AC112" s="248"/>
      <c r="AD112" s="248"/>
      <c r="AE112" s="248"/>
      <c r="AF112" s="248"/>
      <c r="AG112" s="248"/>
      <c r="AH112" s="248"/>
      <c r="AI112" s="248"/>
      <c r="AJ112" s="248"/>
      <c r="AK112" s="248"/>
      <c r="AL112" s="248"/>
      <c r="AM112" s="248"/>
      <c r="AN112" s="293">
        <f t="shared" si="10"/>
        <v>71</v>
      </c>
      <c r="AO112" s="248"/>
      <c r="AP112" s="290" t="str">
        <f ca="1">OFFSET('Calc.U.Uncertainty'!$A$1,U112-1,AN112-1)</f>
        <v>C</v>
      </c>
      <c r="AQ112" s="291"/>
      <c r="AR112" s="291"/>
      <c r="AS112" s="291"/>
      <c r="AT112" s="292"/>
      <c r="AU112" s="249"/>
    </row>
    <row r="113" spans="1:47" s="250" customFormat="1" ht="10.199999999999999" hidden="1" outlineLevel="1">
      <c r="A113" s="238"/>
      <c r="B113" s="238"/>
      <c r="D113" s="238"/>
      <c r="E113" s="238"/>
      <c r="F113" s="238"/>
      <c r="G113" s="238"/>
      <c r="H113" s="238"/>
      <c r="I113" s="238"/>
      <c r="J113" s="238"/>
      <c r="K113" s="238"/>
      <c r="L113" s="251"/>
      <c r="M113" s="294" t="str">
        <f t="shared" si="4"/>
        <v>C.A.010</v>
      </c>
      <c r="N113" s="248"/>
      <c r="O113" s="248"/>
      <c r="P113" s="248"/>
      <c r="Q113" s="248"/>
      <c r="R113" s="248"/>
      <c r="S113" s="248"/>
      <c r="T113" s="248"/>
      <c r="U113" s="293">
        <f t="shared" si="5"/>
        <v>274</v>
      </c>
      <c r="V113" s="248"/>
      <c r="W113" s="248"/>
      <c r="X113" s="295" t="s">
        <v>517</v>
      </c>
      <c r="Y113" s="248"/>
      <c r="Z113" s="248"/>
      <c r="AA113" s="248"/>
      <c r="AB113" s="248"/>
      <c r="AC113" s="248"/>
      <c r="AD113" s="248"/>
      <c r="AE113" s="248"/>
      <c r="AF113" s="248"/>
      <c r="AG113" s="248"/>
      <c r="AH113" s="248"/>
      <c r="AI113" s="248"/>
      <c r="AJ113" s="248"/>
      <c r="AK113" s="248"/>
      <c r="AL113" s="248"/>
      <c r="AM113" s="248"/>
      <c r="AN113" s="293">
        <f t="shared" si="10"/>
        <v>71</v>
      </c>
      <c r="AO113" s="248"/>
      <c r="AP113" s="290" t="str">
        <f ca="1">OFFSET('Calc.U.Uncertainty'!$A$1,U113-1,AN113-1)</f>
        <v>E</v>
      </c>
      <c r="AQ113" s="291"/>
      <c r="AR113" s="291"/>
      <c r="AS113" s="291"/>
      <c r="AT113" s="292"/>
      <c r="AU113" s="249"/>
    </row>
    <row r="114" spans="1:47" s="250" customFormat="1" ht="10.199999999999999" hidden="1" outlineLevel="1">
      <c r="A114" s="238"/>
      <c r="B114" s="238"/>
      <c r="D114" s="238"/>
      <c r="E114" s="238"/>
      <c r="F114" s="238"/>
      <c r="G114" s="238"/>
      <c r="H114" s="238"/>
      <c r="I114" s="238"/>
      <c r="J114" s="238"/>
      <c r="K114" s="238"/>
      <c r="L114" s="251"/>
      <c r="M114" s="294" t="str">
        <f t="shared" si="4"/>
        <v>C.A.011</v>
      </c>
      <c r="N114" s="248"/>
      <c r="O114" s="248"/>
      <c r="P114" s="248"/>
      <c r="Q114" s="248"/>
      <c r="R114" s="248"/>
      <c r="S114" s="248"/>
      <c r="T114" s="248"/>
      <c r="U114" s="293">
        <f t="shared" si="5"/>
        <v>275</v>
      </c>
      <c r="V114" s="248"/>
      <c r="W114" s="248"/>
      <c r="X114" s="295" t="s">
        <v>517</v>
      </c>
      <c r="Y114" s="248"/>
      <c r="Z114" s="248"/>
      <c r="AA114" s="248"/>
      <c r="AB114" s="248"/>
      <c r="AC114" s="248"/>
      <c r="AD114" s="248"/>
      <c r="AE114" s="248"/>
      <c r="AF114" s="248"/>
      <c r="AG114" s="248"/>
      <c r="AH114" s="248"/>
      <c r="AI114" s="248"/>
      <c r="AJ114" s="248"/>
      <c r="AK114" s="248"/>
      <c r="AL114" s="248"/>
      <c r="AM114" s="248"/>
      <c r="AN114" s="293">
        <f t="shared" si="10"/>
        <v>71</v>
      </c>
      <c r="AO114" s="248"/>
      <c r="AP114" s="290" t="str">
        <f ca="1">OFFSET('Calc.U.Uncertainty'!$A$1,U114-1,AN114-1)</f>
        <v>D</v>
      </c>
      <c r="AQ114" s="291"/>
      <c r="AR114" s="291"/>
      <c r="AS114" s="291"/>
      <c r="AT114" s="292"/>
      <c r="AU114" s="249"/>
    </row>
    <row r="115" spans="1:47" s="250" customFormat="1" ht="10.199999999999999" hidden="1" outlineLevel="1">
      <c r="A115" s="238"/>
      <c r="B115" s="238"/>
      <c r="D115" s="238"/>
      <c r="E115" s="238"/>
      <c r="F115" s="238"/>
      <c r="G115" s="238"/>
      <c r="H115" s="238"/>
      <c r="I115" s="238"/>
      <c r="J115" s="238"/>
      <c r="K115" s="238"/>
      <c r="L115" s="251"/>
      <c r="M115" s="294" t="str">
        <f t="shared" si="4"/>
        <v>C.A.012</v>
      </c>
      <c r="N115" s="248"/>
      <c r="O115" s="248"/>
      <c r="P115" s="248"/>
      <c r="Q115" s="248"/>
      <c r="R115" s="248"/>
      <c r="S115" s="248"/>
      <c r="T115" s="248"/>
      <c r="U115" s="293">
        <f t="shared" si="5"/>
        <v>276</v>
      </c>
      <c r="V115" s="248"/>
      <c r="W115" s="248"/>
      <c r="X115" s="295" t="s">
        <v>517</v>
      </c>
      <c r="Y115" s="248"/>
      <c r="Z115" s="248"/>
      <c r="AA115" s="248"/>
      <c r="AB115" s="248"/>
      <c r="AC115" s="248"/>
      <c r="AD115" s="248"/>
      <c r="AE115" s="248"/>
      <c r="AF115" s="248"/>
      <c r="AG115" s="248"/>
      <c r="AH115" s="248"/>
      <c r="AI115" s="248"/>
      <c r="AJ115" s="248"/>
      <c r="AK115" s="248"/>
      <c r="AL115" s="248"/>
      <c r="AM115" s="248"/>
      <c r="AN115" s="293">
        <f t="shared" si="10"/>
        <v>71</v>
      </c>
      <c r="AO115" s="248"/>
      <c r="AP115" s="290" t="str">
        <f ca="1">OFFSET('Calc.U.Uncertainty'!$A$1,U115-1,AN115-1)</f>
        <v>D</v>
      </c>
      <c r="AQ115" s="291"/>
      <c r="AR115" s="291"/>
      <c r="AS115" s="291"/>
      <c r="AT115" s="292"/>
      <c r="AU115" s="249"/>
    </row>
    <row r="116" spans="1:47" s="250" customFormat="1" ht="10.199999999999999" hidden="1" outlineLevel="1">
      <c r="A116" s="238"/>
      <c r="B116" s="238"/>
      <c r="D116" s="238"/>
      <c r="E116" s="238"/>
      <c r="F116" s="238"/>
      <c r="G116" s="238"/>
      <c r="H116" s="238"/>
      <c r="I116" s="238"/>
      <c r="J116" s="238"/>
      <c r="K116" s="238"/>
      <c r="L116" s="251"/>
      <c r="M116" s="294" t="str">
        <f t="shared" si="4"/>
        <v>C.A.001</v>
      </c>
      <c r="N116" s="248"/>
      <c r="O116" s="248"/>
      <c r="P116" s="248"/>
      <c r="Q116" s="248"/>
      <c r="R116" s="248"/>
      <c r="S116" s="248"/>
      <c r="T116" s="248"/>
      <c r="U116" s="293">
        <f t="shared" si="5"/>
        <v>265</v>
      </c>
      <c r="V116" s="248"/>
      <c r="W116" s="248"/>
      <c r="X116" s="288" t="s">
        <v>512</v>
      </c>
      <c r="Y116" s="248"/>
      <c r="Z116" s="248"/>
      <c r="AA116" s="248"/>
      <c r="AB116" s="248"/>
      <c r="AC116" s="248"/>
      <c r="AD116" s="248"/>
      <c r="AE116" s="248"/>
      <c r="AF116" s="248"/>
      <c r="AG116" s="248"/>
      <c r="AH116" s="248"/>
      <c r="AI116" s="248"/>
      <c r="AJ116" s="248"/>
      <c r="AK116" s="248"/>
      <c r="AL116" s="248"/>
      <c r="AM116" s="248"/>
      <c r="AN116" s="289">
        <f>MATCH(X116,'Calc.U.Uncertainty'!$1:$1,0)</f>
        <v>63</v>
      </c>
      <c r="AO116" s="248"/>
      <c r="AP116" s="290" t="str">
        <f ca="1">OFFSET('Calc.U.Uncertainty'!$A$1,U116-1,AN116-1)</f>
        <v>E</v>
      </c>
      <c r="AQ116" s="291"/>
      <c r="AR116" s="291"/>
      <c r="AS116" s="291"/>
      <c r="AT116" s="292"/>
      <c r="AU116" s="249"/>
    </row>
    <row r="117" spans="1:47" s="250" customFormat="1" ht="10.199999999999999" hidden="1" outlineLevel="1">
      <c r="A117" s="238"/>
      <c r="B117" s="238"/>
      <c r="D117" s="238"/>
      <c r="E117" s="238"/>
      <c r="F117" s="238"/>
      <c r="G117" s="238"/>
      <c r="H117" s="238"/>
      <c r="I117" s="238"/>
      <c r="J117" s="238"/>
      <c r="K117" s="238"/>
      <c r="L117" s="251"/>
      <c r="M117" s="294" t="str">
        <f t="shared" si="4"/>
        <v>C.A.002</v>
      </c>
      <c r="N117" s="248"/>
      <c r="O117" s="248"/>
      <c r="P117" s="248"/>
      <c r="Q117" s="248"/>
      <c r="R117" s="248"/>
      <c r="S117" s="248"/>
      <c r="T117" s="248"/>
      <c r="U117" s="293">
        <f t="shared" si="5"/>
        <v>266</v>
      </c>
      <c r="V117" s="248"/>
      <c r="W117" s="248"/>
      <c r="X117" s="295" t="s">
        <v>512</v>
      </c>
      <c r="Y117" s="248"/>
      <c r="Z117" s="248"/>
      <c r="AA117" s="248"/>
      <c r="AB117" s="248"/>
      <c r="AC117" s="248"/>
      <c r="AD117" s="248"/>
      <c r="AE117" s="248"/>
      <c r="AF117" s="248"/>
      <c r="AG117" s="248"/>
      <c r="AH117" s="248"/>
      <c r="AI117" s="248"/>
      <c r="AJ117" s="248"/>
      <c r="AK117" s="248"/>
      <c r="AL117" s="248"/>
      <c r="AM117" s="248"/>
      <c r="AN117" s="293">
        <f t="shared" ref="AN117:AN127" si="11">AN116</f>
        <v>63</v>
      </c>
      <c r="AO117" s="248"/>
      <c r="AP117" s="290" t="str">
        <f ca="1">OFFSET('Calc.U.Uncertainty'!$A$1,U117-1,AN117-1)</f>
        <v>E</v>
      </c>
      <c r="AQ117" s="291"/>
      <c r="AR117" s="291"/>
      <c r="AS117" s="291"/>
      <c r="AT117" s="292"/>
      <c r="AU117" s="249"/>
    </row>
    <row r="118" spans="1:47" s="250" customFormat="1" ht="10.199999999999999" hidden="1" outlineLevel="1">
      <c r="A118" s="238"/>
      <c r="B118" s="238"/>
      <c r="D118" s="238"/>
      <c r="E118" s="238"/>
      <c r="F118" s="238"/>
      <c r="G118" s="238"/>
      <c r="H118" s="238"/>
      <c r="I118" s="238"/>
      <c r="J118" s="238"/>
      <c r="K118" s="238"/>
      <c r="L118" s="251"/>
      <c r="M118" s="294" t="str">
        <f t="shared" si="4"/>
        <v>C.A.003</v>
      </c>
      <c r="N118" s="248"/>
      <c r="O118" s="248"/>
      <c r="P118" s="248"/>
      <c r="Q118" s="248"/>
      <c r="R118" s="248"/>
      <c r="S118" s="248"/>
      <c r="T118" s="248"/>
      <c r="U118" s="293">
        <f t="shared" si="5"/>
        <v>267</v>
      </c>
      <c r="V118" s="248"/>
      <c r="W118" s="248"/>
      <c r="X118" s="295" t="s">
        <v>512</v>
      </c>
      <c r="Y118" s="248"/>
      <c r="Z118" s="248"/>
      <c r="AA118" s="248"/>
      <c r="AB118" s="248"/>
      <c r="AC118" s="248"/>
      <c r="AD118" s="248"/>
      <c r="AE118" s="248"/>
      <c r="AF118" s="248"/>
      <c r="AG118" s="248"/>
      <c r="AH118" s="248"/>
      <c r="AI118" s="248"/>
      <c r="AJ118" s="248"/>
      <c r="AK118" s="248"/>
      <c r="AL118" s="248"/>
      <c r="AM118" s="248"/>
      <c r="AN118" s="293">
        <f t="shared" si="11"/>
        <v>63</v>
      </c>
      <c r="AO118" s="248"/>
      <c r="AP118" s="290" t="str">
        <f ca="1">OFFSET('Calc.U.Uncertainty'!$A$1,U118-1,AN118-1)</f>
        <v>E</v>
      </c>
      <c r="AQ118" s="291"/>
      <c r="AR118" s="291"/>
      <c r="AS118" s="291"/>
      <c r="AT118" s="292"/>
      <c r="AU118" s="249"/>
    </row>
    <row r="119" spans="1:47" s="250" customFormat="1" ht="10.199999999999999" hidden="1" outlineLevel="1">
      <c r="A119" s="238"/>
      <c r="B119" s="238"/>
      <c r="D119" s="238"/>
      <c r="E119" s="238"/>
      <c r="F119" s="238"/>
      <c r="G119" s="238"/>
      <c r="H119" s="238"/>
      <c r="I119" s="238"/>
      <c r="J119" s="238"/>
      <c r="K119" s="238"/>
      <c r="L119" s="251"/>
      <c r="M119" s="294" t="str">
        <f t="shared" si="4"/>
        <v>C.A.004</v>
      </c>
      <c r="N119" s="248"/>
      <c r="O119" s="248"/>
      <c r="P119" s="248"/>
      <c r="Q119" s="248"/>
      <c r="R119" s="248"/>
      <c r="S119" s="248"/>
      <c r="T119" s="248"/>
      <c r="U119" s="293">
        <f t="shared" si="5"/>
        <v>268</v>
      </c>
      <c r="V119" s="248"/>
      <c r="W119" s="248"/>
      <c r="X119" s="295" t="s">
        <v>512</v>
      </c>
      <c r="Y119" s="248"/>
      <c r="Z119" s="248"/>
      <c r="AA119" s="248"/>
      <c r="AB119" s="248"/>
      <c r="AC119" s="248"/>
      <c r="AD119" s="248"/>
      <c r="AE119" s="248"/>
      <c r="AF119" s="248"/>
      <c r="AG119" s="248"/>
      <c r="AH119" s="248"/>
      <c r="AI119" s="248"/>
      <c r="AJ119" s="248"/>
      <c r="AK119" s="248"/>
      <c r="AL119" s="248"/>
      <c r="AM119" s="248"/>
      <c r="AN119" s="293">
        <f t="shared" si="11"/>
        <v>63</v>
      </c>
      <c r="AO119" s="248"/>
      <c r="AP119" s="290" t="str">
        <f ca="1">OFFSET('Calc.U.Uncertainty'!$A$1,U119-1,AN119-1)</f>
        <v>C</v>
      </c>
      <c r="AQ119" s="291"/>
      <c r="AR119" s="291"/>
      <c r="AS119" s="291"/>
      <c r="AT119" s="292"/>
      <c r="AU119" s="249"/>
    </row>
    <row r="120" spans="1:47" s="250" customFormat="1" ht="10.199999999999999" hidden="1" outlineLevel="1">
      <c r="A120" s="238"/>
      <c r="B120" s="238"/>
      <c r="D120" s="238"/>
      <c r="E120" s="238"/>
      <c r="F120" s="238"/>
      <c r="G120" s="238"/>
      <c r="H120" s="238"/>
      <c r="I120" s="238"/>
      <c r="J120" s="238"/>
      <c r="K120" s="238"/>
      <c r="L120" s="251"/>
      <c r="M120" s="294" t="str">
        <f t="shared" si="4"/>
        <v>C.A.005</v>
      </c>
      <c r="N120" s="248"/>
      <c r="O120" s="248"/>
      <c r="P120" s="248"/>
      <c r="Q120" s="248"/>
      <c r="R120" s="248"/>
      <c r="S120" s="248"/>
      <c r="T120" s="248"/>
      <c r="U120" s="293">
        <f t="shared" si="5"/>
        <v>269</v>
      </c>
      <c r="V120" s="248"/>
      <c r="W120" s="248"/>
      <c r="X120" s="295" t="s">
        <v>512</v>
      </c>
      <c r="Y120" s="248"/>
      <c r="Z120" s="248"/>
      <c r="AA120" s="248"/>
      <c r="AB120" s="248"/>
      <c r="AC120" s="248"/>
      <c r="AD120" s="248"/>
      <c r="AE120" s="248"/>
      <c r="AF120" s="248"/>
      <c r="AG120" s="248"/>
      <c r="AH120" s="248"/>
      <c r="AI120" s="248"/>
      <c r="AJ120" s="248"/>
      <c r="AK120" s="248"/>
      <c r="AL120" s="248"/>
      <c r="AM120" s="248"/>
      <c r="AN120" s="293">
        <f t="shared" si="11"/>
        <v>63</v>
      </c>
      <c r="AO120" s="248"/>
      <c r="AP120" s="290" t="str">
        <f ca="1">OFFSET('Calc.U.Uncertainty'!$A$1,U120-1,AN120-1)</f>
        <v>C</v>
      </c>
      <c r="AQ120" s="291"/>
      <c r="AR120" s="291"/>
      <c r="AS120" s="291"/>
      <c r="AT120" s="292"/>
      <c r="AU120" s="249"/>
    </row>
    <row r="121" spans="1:47" s="250" customFormat="1" ht="10.199999999999999" hidden="1" outlineLevel="1">
      <c r="A121" s="238"/>
      <c r="B121" s="238"/>
      <c r="D121" s="238"/>
      <c r="E121" s="238"/>
      <c r="F121" s="238"/>
      <c r="G121" s="238"/>
      <c r="H121" s="238"/>
      <c r="I121" s="238"/>
      <c r="J121" s="238"/>
      <c r="K121" s="238"/>
      <c r="L121" s="251"/>
      <c r="M121" s="294" t="str">
        <f t="shared" ref="M121:M184" si="12">M109</f>
        <v>C.A.006</v>
      </c>
      <c r="N121" s="248"/>
      <c r="O121" s="248"/>
      <c r="P121" s="248"/>
      <c r="Q121" s="248"/>
      <c r="R121" s="248"/>
      <c r="S121" s="248"/>
      <c r="T121" s="248"/>
      <c r="U121" s="293">
        <f t="shared" ref="U121:U184" si="13">U109</f>
        <v>270</v>
      </c>
      <c r="V121" s="248"/>
      <c r="W121" s="248"/>
      <c r="X121" s="295" t="s">
        <v>512</v>
      </c>
      <c r="Y121" s="248"/>
      <c r="Z121" s="248"/>
      <c r="AA121" s="248"/>
      <c r="AB121" s="248"/>
      <c r="AC121" s="248"/>
      <c r="AD121" s="248"/>
      <c r="AE121" s="248"/>
      <c r="AF121" s="248"/>
      <c r="AG121" s="248"/>
      <c r="AH121" s="248"/>
      <c r="AI121" s="248"/>
      <c r="AJ121" s="248"/>
      <c r="AK121" s="248"/>
      <c r="AL121" s="248"/>
      <c r="AM121" s="248"/>
      <c r="AN121" s="293">
        <f t="shared" si="11"/>
        <v>63</v>
      </c>
      <c r="AO121" s="248"/>
      <c r="AP121" s="290" t="str">
        <f ca="1">OFFSET('Calc.U.Uncertainty'!$A$1,U121-1,AN121-1)</f>
        <v>B</v>
      </c>
      <c r="AQ121" s="291"/>
      <c r="AR121" s="291"/>
      <c r="AS121" s="291"/>
      <c r="AT121" s="292"/>
      <c r="AU121" s="249"/>
    </row>
    <row r="122" spans="1:47" s="250" customFormat="1" ht="10.199999999999999" hidden="1" outlineLevel="1">
      <c r="A122" s="238"/>
      <c r="B122" s="238"/>
      <c r="D122" s="238"/>
      <c r="E122" s="238"/>
      <c r="F122" s="238"/>
      <c r="G122" s="238"/>
      <c r="H122" s="238"/>
      <c r="I122" s="238"/>
      <c r="J122" s="238"/>
      <c r="K122" s="238"/>
      <c r="L122" s="251"/>
      <c r="M122" s="294" t="str">
        <f t="shared" si="12"/>
        <v>C.A.007</v>
      </c>
      <c r="N122" s="248"/>
      <c r="O122" s="248"/>
      <c r="P122" s="248"/>
      <c r="Q122" s="248"/>
      <c r="R122" s="248"/>
      <c r="S122" s="248"/>
      <c r="T122" s="248"/>
      <c r="U122" s="293">
        <f t="shared" si="13"/>
        <v>271</v>
      </c>
      <c r="V122" s="248"/>
      <c r="W122" s="248"/>
      <c r="X122" s="295" t="s">
        <v>512</v>
      </c>
      <c r="Y122" s="248"/>
      <c r="Z122" s="248"/>
      <c r="AA122" s="248"/>
      <c r="AB122" s="248"/>
      <c r="AC122" s="248"/>
      <c r="AD122" s="248"/>
      <c r="AE122" s="248"/>
      <c r="AF122" s="248"/>
      <c r="AG122" s="248"/>
      <c r="AH122" s="248"/>
      <c r="AI122" s="248"/>
      <c r="AJ122" s="248"/>
      <c r="AK122" s="248"/>
      <c r="AL122" s="248"/>
      <c r="AM122" s="248"/>
      <c r="AN122" s="293">
        <f t="shared" si="11"/>
        <v>63</v>
      </c>
      <c r="AO122" s="248"/>
      <c r="AP122" s="290" t="str">
        <f ca="1">OFFSET('Calc.U.Uncertainty'!$A$1,U122-1,AN122-1)</f>
        <v>A</v>
      </c>
      <c r="AQ122" s="291"/>
      <c r="AR122" s="291"/>
      <c r="AS122" s="291"/>
      <c r="AT122" s="292"/>
      <c r="AU122" s="249"/>
    </row>
    <row r="123" spans="1:47" s="250" customFormat="1" ht="10.199999999999999" hidden="1" outlineLevel="1">
      <c r="A123" s="238"/>
      <c r="B123" s="238"/>
      <c r="D123" s="238"/>
      <c r="E123" s="238"/>
      <c r="F123" s="238"/>
      <c r="G123" s="238"/>
      <c r="H123" s="238"/>
      <c r="I123" s="238"/>
      <c r="J123" s="238"/>
      <c r="K123" s="238"/>
      <c r="L123" s="251"/>
      <c r="M123" s="294" t="str">
        <f t="shared" si="12"/>
        <v>C.A.008</v>
      </c>
      <c r="N123" s="248"/>
      <c r="O123" s="248"/>
      <c r="P123" s="248"/>
      <c r="Q123" s="248"/>
      <c r="R123" s="248"/>
      <c r="S123" s="248"/>
      <c r="T123" s="248"/>
      <c r="U123" s="293">
        <f t="shared" si="13"/>
        <v>272</v>
      </c>
      <c r="V123" s="248"/>
      <c r="W123" s="248"/>
      <c r="X123" s="295" t="s">
        <v>512</v>
      </c>
      <c r="Y123" s="248"/>
      <c r="Z123" s="248"/>
      <c r="AA123" s="248"/>
      <c r="AB123" s="248"/>
      <c r="AC123" s="248"/>
      <c r="AD123" s="248"/>
      <c r="AE123" s="248"/>
      <c r="AF123" s="248"/>
      <c r="AG123" s="248"/>
      <c r="AH123" s="248"/>
      <c r="AI123" s="248"/>
      <c r="AJ123" s="248"/>
      <c r="AK123" s="248"/>
      <c r="AL123" s="248"/>
      <c r="AM123" s="248"/>
      <c r="AN123" s="293">
        <f t="shared" si="11"/>
        <v>63</v>
      </c>
      <c r="AO123" s="248"/>
      <c r="AP123" s="290" t="str">
        <f ca="1">OFFSET('Calc.U.Uncertainty'!$A$1,U123-1,AN123-1)</f>
        <v>C</v>
      </c>
      <c r="AQ123" s="291"/>
      <c r="AR123" s="291"/>
      <c r="AS123" s="291"/>
      <c r="AT123" s="292"/>
      <c r="AU123" s="249"/>
    </row>
    <row r="124" spans="1:47" s="250" customFormat="1" ht="10.199999999999999" hidden="1" outlineLevel="1">
      <c r="A124" s="238"/>
      <c r="B124" s="238"/>
      <c r="D124" s="238"/>
      <c r="E124" s="238"/>
      <c r="F124" s="238"/>
      <c r="G124" s="238"/>
      <c r="H124" s="238"/>
      <c r="I124" s="238"/>
      <c r="J124" s="238"/>
      <c r="K124" s="238"/>
      <c r="L124" s="251"/>
      <c r="M124" s="294" t="str">
        <f t="shared" si="12"/>
        <v>C.A.009</v>
      </c>
      <c r="N124" s="248"/>
      <c r="O124" s="248"/>
      <c r="P124" s="248"/>
      <c r="Q124" s="248"/>
      <c r="R124" s="248"/>
      <c r="S124" s="248"/>
      <c r="T124" s="248"/>
      <c r="U124" s="293">
        <f t="shared" si="13"/>
        <v>273</v>
      </c>
      <c r="V124" s="248"/>
      <c r="W124" s="248"/>
      <c r="X124" s="295" t="s">
        <v>512</v>
      </c>
      <c r="Y124" s="248"/>
      <c r="Z124" s="248"/>
      <c r="AA124" s="248"/>
      <c r="AB124" s="248"/>
      <c r="AC124" s="248"/>
      <c r="AD124" s="248"/>
      <c r="AE124" s="248"/>
      <c r="AF124" s="248"/>
      <c r="AG124" s="248"/>
      <c r="AH124" s="248"/>
      <c r="AI124" s="248"/>
      <c r="AJ124" s="248"/>
      <c r="AK124" s="248"/>
      <c r="AL124" s="248"/>
      <c r="AM124" s="248"/>
      <c r="AN124" s="293">
        <f t="shared" si="11"/>
        <v>63</v>
      </c>
      <c r="AO124" s="248"/>
      <c r="AP124" s="290" t="str">
        <f ca="1">OFFSET('Calc.U.Uncertainty'!$A$1,U124-1,AN124-1)</f>
        <v>C</v>
      </c>
      <c r="AQ124" s="291"/>
      <c r="AR124" s="291"/>
      <c r="AS124" s="291"/>
      <c r="AT124" s="292"/>
      <c r="AU124" s="249"/>
    </row>
    <row r="125" spans="1:47" s="250" customFormat="1" ht="10.199999999999999" hidden="1" outlineLevel="1">
      <c r="A125" s="238"/>
      <c r="B125" s="238"/>
      <c r="D125" s="238"/>
      <c r="E125" s="238"/>
      <c r="F125" s="238"/>
      <c r="G125" s="238"/>
      <c r="H125" s="238"/>
      <c r="I125" s="238"/>
      <c r="J125" s="238"/>
      <c r="K125" s="238"/>
      <c r="L125" s="251"/>
      <c r="M125" s="294" t="str">
        <f t="shared" si="12"/>
        <v>C.A.010</v>
      </c>
      <c r="N125" s="248"/>
      <c r="O125" s="248"/>
      <c r="P125" s="248"/>
      <c r="Q125" s="248"/>
      <c r="R125" s="248"/>
      <c r="S125" s="248"/>
      <c r="T125" s="248"/>
      <c r="U125" s="293">
        <f t="shared" si="13"/>
        <v>274</v>
      </c>
      <c r="V125" s="248"/>
      <c r="W125" s="248"/>
      <c r="X125" s="295" t="s">
        <v>512</v>
      </c>
      <c r="Y125" s="248"/>
      <c r="Z125" s="248"/>
      <c r="AA125" s="248"/>
      <c r="AB125" s="248"/>
      <c r="AC125" s="248"/>
      <c r="AD125" s="248"/>
      <c r="AE125" s="248"/>
      <c r="AF125" s="248"/>
      <c r="AG125" s="248"/>
      <c r="AH125" s="248"/>
      <c r="AI125" s="248"/>
      <c r="AJ125" s="248"/>
      <c r="AK125" s="248"/>
      <c r="AL125" s="248"/>
      <c r="AM125" s="248"/>
      <c r="AN125" s="293">
        <f t="shared" si="11"/>
        <v>63</v>
      </c>
      <c r="AO125" s="248"/>
      <c r="AP125" s="290" t="str">
        <f ca="1">OFFSET('Calc.U.Uncertainty'!$A$1,U125-1,AN125-1)</f>
        <v>E</v>
      </c>
      <c r="AQ125" s="291"/>
      <c r="AR125" s="291"/>
      <c r="AS125" s="291"/>
      <c r="AT125" s="292"/>
      <c r="AU125" s="249"/>
    </row>
    <row r="126" spans="1:47" s="250" customFormat="1" ht="10.199999999999999" hidden="1" outlineLevel="1">
      <c r="A126" s="238"/>
      <c r="B126" s="238"/>
      <c r="D126" s="238"/>
      <c r="E126" s="238"/>
      <c r="F126" s="238"/>
      <c r="G126" s="238"/>
      <c r="H126" s="238"/>
      <c r="I126" s="238"/>
      <c r="J126" s="238"/>
      <c r="K126" s="238"/>
      <c r="L126" s="251"/>
      <c r="M126" s="294" t="str">
        <f t="shared" si="12"/>
        <v>C.A.011</v>
      </c>
      <c r="N126" s="248"/>
      <c r="O126" s="248"/>
      <c r="P126" s="248"/>
      <c r="Q126" s="248"/>
      <c r="R126" s="248"/>
      <c r="S126" s="248"/>
      <c r="T126" s="248"/>
      <c r="U126" s="293">
        <f t="shared" si="13"/>
        <v>275</v>
      </c>
      <c r="V126" s="248"/>
      <c r="W126" s="248"/>
      <c r="X126" s="295" t="s">
        <v>512</v>
      </c>
      <c r="Y126" s="248"/>
      <c r="Z126" s="248"/>
      <c r="AA126" s="248"/>
      <c r="AB126" s="248"/>
      <c r="AC126" s="248"/>
      <c r="AD126" s="248"/>
      <c r="AE126" s="248"/>
      <c r="AF126" s="248"/>
      <c r="AG126" s="248"/>
      <c r="AH126" s="248"/>
      <c r="AI126" s="248"/>
      <c r="AJ126" s="248"/>
      <c r="AK126" s="248"/>
      <c r="AL126" s="248"/>
      <c r="AM126" s="248"/>
      <c r="AN126" s="293">
        <f t="shared" si="11"/>
        <v>63</v>
      </c>
      <c r="AO126" s="248"/>
      <c r="AP126" s="290" t="str">
        <f ca="1">OFFSET('Calc.U.Uncertainty'!$A$1,U126-1,AN126-1)</f>
        <v>D</v>
      </c>
      <c r="AQ126" s="291"/>
      <c r="AR126" s="291"/>
      <c r="AS126" s="291"/>
      <c r="AT126" s="292"/>
      <c r="AU126" s="249"/>
    </row>
    <row r="127" spans="1:47" s="250" customFormat="1" ht="10.199999999999999" hidden="1" outlineLevel="1">
      <c r="A127" s="238"/>
      <c r="B127" s="238"/>
      <c r="D127" s="238"/>
      <c r="E127" s="238"/>
      <c r="F127" s="238"/>
      <c r="G127" s="238"/>
      <c r="H127" s="238"/>
      <c r="I127" s="238"/>
      <c r="J127" s="238"/>
      <c r="K127" s="238"/>
      <c r="L127" s="251"/>
      <c r="M127" s="294" t="str">
        <f t="shared" si="12"/>
        <v>C.A.012</v>
      </c>
      <c r="N127" s="248"/>
      <c r="O127" s="248"/>
      <c r="P127" s="248"/>
      <c r="Q127" s="248"/>
      <c r="R127" s="248"/>
      <c r="S127" s="248"/>
      <c r="T127" s="248"/>
      <c r="U127" s="293">
        <f t="shared" si="13"/>
        <v>276</v>
      </c>
      <c r="V127" s="248"/>
      <c r="W127" s="248"/>
      <c r="X127" s="295" t="s">
        <v>512</v>
      </c>
      <c r="Y127" s="248"/>
      <c r="Z127" s="248"/>
      <c r="AA127" s="248"/>
      <c r="AB127" s="248"/>
      <c r="AC127" s="248"/>
      <c r="AD127" s="248"/>
      <c r="AE127" s="248"/>
      <c r="AF127" s="248"/>
      <c r="AG127" s="248"/>
      <c r="AH127" s="248"/>
      <c r="AI127" s="248"/>
      <c r="AJ127" s="248"/>
      <c r="AK127" s="248"/>
      <c r="AL127" s="248"/>
      <c r="AM127" s="248"/>
      <c r="AN127" s="293">
        <f t="shared" si="11"/>
        <v>63</v>
      </c>
      <c r="AO127" s="248"/>
      <c r="AP127" s="290" t="str">
        <f ca="1">OFFSET('Calc.U.Uncertainty'!$A$1,U127-1,AN127-1)</f>
        <v>D</v>
      </c>
      <c r="AQ127" s="291"/>
      <c r="AR127" s="291"/>
      <c r="AS127" s="291"/>
      <c r="AT127" s="292"/>
      <c r="AU127" s="249"/>
    </row>
    <row r="128" spans="1:47" s="250" customFormat="1" ht="10.199999999999999" hidden="1" outlineLevel="1">
      <c r="A128" s="238"/>
      <c r="B128" s="238"/>
      <c r="D128" s="238"/>
      <c r="E128" s="238"/>
      <c r="F128" s="238"/>
      <c r="G128" s="238"/>
      <c r="H128" s="238"/>
      <c r="I128" s="238"/>
      <c r="J128" s="238"/>
      <c r="K128" s="238"/>
      <c r="L128" s="251"/>
      <c r="M128" s="294" t="str">
        <f t="shared" si="12"/>
        <v>C.A.001</v>
      </c>
      <c r="N128" s="248"/>
      <c r="O128" s="248"/>
      <c r="P128" s="248"/>
      <c r="Q128" s="248"/>
      <c r="R128" s="248"/>
      <c r="S128" s="248"/>
      <c r="T128" s="248"/>
      <c r="U128" s="293">
        <f t="shared" si="13"/>
        <v>265</v>
      </c>
      <c r="V128" s="248"/>
      <c r="W128" s="248"/>
      <c r="X128" s="288" t="s">
        <v>515</v>
      </c>
      <c r="Y128" s="248"/>
      <c r="Z128" s="248"/>
      <c r="AA128" s="248"/>
      <c r="AB128" s="248"/>
      <c r="AC128" s="248"/>
      <c r="AD128" s="248"/>
      <c r="AE128" s="248"/>
      <c r="AF128" s="248"/>
      <c r="AG128" s="248"/>
      <c r="AH128" s="248"/>
      <c r="AI128" s="248"/>
      <c r="AJ128" s="248"/>
      <c r="AK128" s="248"/>
      <c r="AL128" s="248"/>
      <c r="AM128" s="248"/>
      <c r="AN128" s="289">
        <f>MATCH(X128,'Calc.U.Uncertainty'!$1:$1,0)</f>
        <v>68</v>
      </c>
      <c r="AO128" s="248"/>
      <c r="AP128" s="290" t="str">
        <f ca="1">OFFSET('Calc.U.Uncertainty'!$A$1,U128-1,AN128-1)</f>
        <v>E</v>
      </c>
      <c r="AQ128" s="291"/>
      <c r="AR128" s="291"/>
      <c r="AS128" s="291"/>
      <c r="AT128" s="292"/>
      <c r="AU128" s="249"/>
    </row>
    <row r="129" spans="1:47" s="250" customFormat="1" ht="10.199999999999999" hidden="1" outlineLevel="1">
      <c r="A129" s="238"/>
      <c r="B129" s="238"/>
      <c r="D129" s="238"/>
      <c r="E129" s="238"/>
      <c r="F129" s="238"/>
      <c r="G129" s="238"/>
      <c r="H129" s="238"/>
      <c r="I129" s="238"/>
      <c r="J129" s="238"/>
      <c r="K129" s="238"/>
      <c r="L129" s="251"/>
      <c r="M129" s="294" t="str">
        <f t="shared" si="12"/>
        <v>C.A.002</v>
      </c>
      <c r="N129" s="248"/>
      <c r="O129" s="248"/>
      <c r="P129" s="248"/>
      <c r="Q129" s="248"/>
      <c r="R129" s="248"/>
      <c r="S129" s="248"/>
      <c r="T129" s="248"/>
      <c r="U129" s="293">
        <f t="shared" si="13"/>
        <v>266</v>
      </c>
      <c r="V129" s="248"/>
      <c r="W129" s="248"/>
      <c r="X129" s="295" t="s">
        <v>515</v>
      </c>
      <c r="Y129" s="248"/>
      <c r="Z129" s="248"/>
      <c r="AA129" s="248"/>
      <c r="AB129" s="248"/>
      <c r="AC129" s="248"/>
      <c r="AD129" s="248"/>
      <c r="AE129" s="248"/>
      <c r="AF129" s="248"/>
      <c r="AG129" s="248"/>
      <c r="AH129" s="248"/>
      <c r="AI129" s="248"/>
      <c r="AJ129" s="248"/>
      <c r="AK129" s="248"/>
      <c r="AL129" s="248"/>
      <c r="AM129" s="248"/>
      <c r="AN129" s="293">
        <f t="shared" ref="AN129:AN139" si="14">AN128</f>
        <v>68</v>
      </c>
      <c r="AO129" s="248"/>
      <c r="AP129" s="290" t="str">
        <f ca="1">OFFSET('Calc.U.Uncertainty'!$A$1,U129-1,AN129-1)</f>
        <v>E</v>
      </c>
      <c r="AQ129" s="291"/>
      <c r="AR129" s="291"/>
      <c r="AS129" s="291"/>
      <c r="AT129" s="292"/>
      <c r="AU129" s="249"/>
    </row>
    <row r="130" spans="1:47" s="250" customFormat="1" ht="10.199999999999999" hidden="1" outlineLevel="1">
      <c r="A130" s="238"/>
      <c r="B130" s="238"/>
      <c r="D130" s="238"/>
      <c r="E130" s="238"/>
      <c r="F130" s="238"/>
      <c r="G130" s="238"/>
      <c r="H130" s="238"/>
      <c r="I130" s="238"/>
      <c r="J130" s="238"/>
      <c r="K130" s="238"/>
      <c r="L130" s="251"/>
      <c r="M130" s="294" t="str">
        <f t="shared" si="12"/>
        <v>C.A.003</v>
      </c>
      <c r="N130" s="248"/>
      <c r="O130" s="248"/>
      <c r="P130" s="248"/>
      <c r="Q130" s="248"/>
      <c r="R130" s="248"/>
      <c r="S130" s="248"/>
      <c r="T130" s="248"/>
      <c r="U130" s="293">
        <f t="shared" si="13"/>
        <v>267</v>
      </c>
      <c r="V130" s="248"/>
      <c r="W130" s="248"/>
      <c r="X130" s="295" t="s">
        <v>515</v>
      </c>
      <c r="Y130" s="248"/>
      <c r="Z130" s="248"/>
      <c r="AA130" s="248"/>
      <c r="AB130" s="248"/>
      <c r="AC130" s="248"/>
      <c r="AD130" s="248"/>
      <c r="AE130" s="248"/>
      <c r="AF130" s="248"/>
      <c r="AG130" s="248"/>
      <c r="AH130" s="248"/>
      <c r="AI130" s="248"/>
      <c r="AJ130" s="248"/>
      <c r="AK130" s="248"/>
      <c r="AL130" s="248"/>
      <c r="AM130" s="248"/>
      <c r="AN130" s="293">
        <f t="shared" si="14"/>
        <v>68</v>
      </c>
      <c r="AO130" s="248"/>
      <c r="AP130" s="290" t="str">
        <f ca="1">OFFSET('Calc.U.Uncertainty'!$A$1,U130-1,AN130-1)</f>
        <v>E</v>
      </c>
      <c r="AQ130" s="291"/>
      <c r="AR130" s="291"/>
      <c r="AS130" s="291"/>
      <c r="AT130" s="292"/>
      <c r="AU130" s="249"/>
    </row>
    <row r="131" spans="1:47" s="250" customFormat="1" ht="10.199999999999999" hidden="1" outlineLevel="1">
      <c r="A131" s="238"/>
      <c r="B131" s="238"/>
      <c r="D131" s="238"/>
      <c r="E131" s="238"/>
      <c r="F131" s="238"/>
      <c r="G131" s="238"/>
      <c r="H131" s="238"/>
      <c r="I131" s="238"/>
      <c r="J131" s="238"/>
      <c r="K131" s="238"/>
      <c r="L131" s="251"/>
      <c r="M131" s="294" t="str">
        <f t="shared" si="12"/>
        <v>C.A.004</v>
      </c>
      <c r="N131" s="248"/>
      <c r="O131" s="248"/>
      <c r="P131" s="248"/>
      <c r="Q131" s="248"/>
      <c r="R131" s="248"/>
      <c r="S131" s="248"/>
      <c r="T131" s="248"/>
      <c r="U131" s="293">
        <f t="shared" si="13"/>
        <v>268</v>
      </c>
      <c r="V131" s="248"/>
      <c r="W131" s="248"/>
      <c r="X131" s="295" t="s">
        <v>515</v>
      </c>
      <c r="Y131" s="248"/>
      <c r="Z131" s="248"/>
      <c r="AA131" s="248"/>
      <c r="AB131" s="248"/>
      <c r="AC131" s="248"/>
      <c r="AD131" s="248"/>
      <c r="AE131" s="248"/>
      <c r="AF131" s="248"/>
      <c r="AG131" s="248"/>
      <c r="AH131" s="248"/>
      <c r="AI131" s="248"/>
      <c r="AJ131" s="248"/>
      <c r="AK131" s="248"/>
      <c r="AL131" s="248"/>
      <c r="AM131" s="248"/>
      <c r="AN131" s="293">
        <f t="shared" si="14"/>
        <v>68</v>
      </c>
      <c r="AO131" s="248"/>
      <c r="AP131" s="290" t="str">
        <f ca="1">OFFSET('Calc.U.Uncertainty'!$A$1,U131-1,AN131-1)</f>
        <v>C</v>
      </c>
      <c r="AQ131" s="291"/>
      <c r="AR131" s="291"/>
      <c r="AS131" s="291"/>
      <c r="AT131" s="292"/>
      <c r="AU131" s="249"/>
    </row>
    <row r="132" spans="1:47" s="250" customFormat="1" ht="10.199999999999999" hidden="1" outlineLevel="1">
      <c r="A132" s="238"/>
      <c r="B132" s="238"/>
      <c r="D132" s="238"/>
      <c r="E132" s="238"/>
      <c r="F132" s="238"/>
      <c r="G132" s="238"/>
      <c r="H132" s="238"/>
      <c r="I132" s="238"/>
      <c r="J132" s="238"/>
      <c r="K132" s="238"/>
      <c r="L132" s="251"/>
      <c r="M132" s="294" t="str">
        <f t="shared" si="12"/>
        <v>C.A.005</v>
      </c>
      <c r="N132" s="248"/>
      <c r="O132" s="248"/>
      <c r="P132" s="248"/>
      <c r="Q132" s="248"/>
      <c r="R132" s="248"/>
      <c r="S132" s="248"/>
      <c r="T132" s="248"/>
      <c r="U132" s="293">
        <f t="shared" si="13"/>
        <v>269</v>
      </c>
      <c r="V132" s="248"/>
      <c r="W132" s="248"/>
      <c r="X132" s="295" t="s">
        <v>515</v>
      </c>
      <c r="Y132" s="248"/>
      <c r="Z132" s="248"/>
      <c r="AA132" s="248"/>
      <c r="AB132" s="248"/>
      <c r="AC132" s="248"/>
      <c r="AD132" s="248"/>
      <c r="AE132" s="248"/>
      <c r="AF132" s="248"/>
      <c r="AG132" s="248"/>
      <c r="AH132" s="248"/>
      <c r="AI132" s="248"/>
      <c r="AJ132" s="248"/>
      <c r="AK132" s="248"/>
      <c r="AL132" s="248"/>
      <c r="AM132" s="248"/>
      <c r="AN132" s="293">
        <f t="shared" si="14"/>
        <v>68</v>
      </c>
      <c r="AO132" s="248"/>
      <c r="AP132" s="290" t="str">
        <f ca="1">OFFSET('Calc.U.Uncertainty'!$A$1,U132-1,AN132-1)</f>
        <v>C</v>
      </c>
      <c r="AQ132" s="291"/>
      <c r="AR132" s="291"/>
      <c r="AS132" s="291"/>
      <c r="AT132" s="292"/>
      <c r="AU132" s="249"/>
    </row>
    <row r="133" spans="1:47" s="250" customFormat="1" ht="10.199999999999999" hidden="1" outlineLevel="1">
      <c r="A133" s="238"/>
      <c r="B133" s="238"/>
      <c r="D133" s="238"/>
      <c r="E133" s="238"/>
      <c r="F133" s="238"/>
      <c r="G133" s="238"/>
      <c r="H133" s="238"/>
      <c r="I133" s="238"/>
      <c r="J133" s="238"/>
      <c r="K133" s="238"/>
      <c r="L133" s="251"/>
      <c r="M133" s="294" t="str">
        <f t="shared" si="12"/>
        <v>C.A.006</v>
      </c>
      <c r="N133" s="248"/>
      <c r="O133" s="248"/>
      <c r="P133" s="248"/>
      <c r="Q133" s="248"/>
      <c r="R133" s="248"/>
      <c r="S133" s="248"/>
      <c r="T133" s="248"/>
      <c r="U133" s="293">
        <f t="shared" si="13"/>
        <v>270</v>
      </c>
      <c r="V133" s="248"/>
      <c r="W133" s="248"/>
      <c r="X133" s="295" t="s">
        <v>515</v>
      </c>
      <c r="Y133" s="248"/>
      <c r="Z133" s="248"/>
      <c r="AA133" s="248"/>
      <c r="AB133" s="248"/>
      <c r="AC133" s="248"/>
      <c r="AD133" s="248"/>
      <c r="AE133" s="248"/>
      <c r="AF133" s="248"/>
      <c r="AG133" s="248"/>
      <c r="AH133" s="248"/>
      <c r="AI133" s="248"/>
      <c r="AJ133" s="248"/>
      <c r="AK133" s="248"/>
      <c r="AL133" s="248"/>
      <c r="AM133" s="248"/>
      <c r="AN133" s="293">
        <f t="shared" si="14"/>
        <v>68</v>
      </c>
      <c r="AO133" s="248"/>
      <c r="AP133" s="290" t="str">
        <f ca="1">OFFSET('Calc.U.Uncertainty'!$A$1,U133-1,AN133-1)</f>
        <v>B</v>
      </c>
      <c r="AQ133" s="291"/>
      <c r="AR133" s="291"/>
      <c r="AS133" s="291"/>
      <c r="AT133" s="292"/>
      <c r="AU133" s="249"/>
    </row>
    <row r="134" spans="1:47" s="250" customFormat="1" ht="10.199999999999999" hidden="1" outlineLevel="1">
      <c r="A134" s="238"/>
      <c r="B134" s="238"/>
      <c r="D134" s="238"/>
      <c r="E134" s="238"/>
      <c r="F134" s="238"/>
      <c r="G134" s="238"/>
      <c r="H134" s="238"/>
      <c r="I134" s="238"/>
      <c r="J134" s="238"/>
      <c r="K134" s="238"/>
      <c r="L134" s="251"/>
      <c r="M134" s="294" t="str">
        <f t="shared" si="12"/>
        <v>C.A.007</v>
      </c>
      <c r="N134" s="248"/>
      <c r="O134" s="248"/>
      <c r="P134" s="248"/>
      <c r="Q134" s="248"/>
      <c r="R134" s="248"/>
      <c r="S134" s="248"/>
      <c r="T134" s="248"/>
      <c r="U134" s="293">
        <f t="shared" si="13"/>
        <v>271</v>
      </c>
      <c r="V134" s="248"/>
      <c r="W134" s="248"/>
      <c r="X134" s="295" t="s">
        <v>515</v>
      </c>
      <c r="Y134" s="248"/>
      <c r="Z134" s="248"/>
      <c r="AA134" s="248"/>
      <c r="AB134" s="248"/>
      <c r="AC134" s="248"/>
      <c r="AD134" s="248"/>
      <c r="AE134" s="248"/>
      <c r="AF134" s="248"/>
      <c r="AG134" s="248"/>
      <c r="AH134" s="248"/>
      <c r="AI134" s="248"/>
      <c r="AJ134" s="248"/>
      <c r="AK134" s="248"/>
      <c r="AL134" s="248"/>
      <c r="AM134" s="248"/>
      <c r="AN134" s="293">
        <f t="shared" si="14"/>
        <v>68</v>
      </c>
      <c r="AO134" s="248"/>
      <c r="AP134" s="290" t="str">
        <f ca="1">OFFSET('Calc.U.Uncertainty'!$A$1,U134-1,AN134-1)</f>
        <v>A</v>
      </c>
      <c r="AQ134" s="291"/>
      <c r="AR134" s="291"/>
      <c r="AS134" s="291"/>
      <c r="AT134" s="292"/>
      <c r="AU134" s="249"/>
    </row>
    <row r="135" spans="1:47" s="250" customFormat="1" ht="10.199999999999999" hidden="1" outlineLevel="1">
      <c r="A135" s="238"/>
      <c r="B135" s="238"/>
      <c r="D135" s="238"/>
      <c r="E135" s="238"/>
      <c r="F135" s="238"/>
      <c r="G135" s="238"/>
      <c r="H135" s="238"/>
      <c r="I135" s="238"/>
      <c r="J135" s="238"/>
      <c r="K135" s="238"/>
      <c r="L135" s="251"/>
      <c r="M135" s="294" t="str">
        <f t="shared" si="12"/>
        <v>C.A.008</v>
      </c>
      <c r="N135" s="248"/>
      <c r="O135" s="248"/>
      <c r="P135" s="248"/>
      <c r="Q135" s="248"/>
      <c r="R135" s="248"/>
      <c r="S135" s="248"/>
      <c r="T135" s="248"/>
      <c r="U135" s="293">
        <f t="shared" si="13"/>
        <v>272</v>
      </c>
      <c r="V135" s="248"/>
      <c r="W135" s="248"/>
      <c r="X135" s="295" t="s">
        <v>515</v>
      </c>
      <c r="Y135" s="248"/>
      <c r="Z135" s="248"/>
      <c r="AA135" s="248"/>
      <c r="AB135" s="248"/>
      <c r="AC135" s="248"/>
      <c r="AD135" s="248"/>
      <c r="AE135" s="248"/>
      <c r="AF135" s="248"/>
      <c r="AG135" s="248"/>
      <c r="AH135" s="248"/>
      <c r="AI135" s="248"/>
      <c r="AJ135" s="248"/>
      <c r="AK135" s="248"/>
      <c r="AL135" s="248"/>
      <c r="AM135" s="248"/>
      <c r="AN135" s="293">
        <f t="shared" si="14"/>
        <v>68</v>
      </c>
      <c r="AO135" s="248"/>
      <c r="AP135" s="290" t="str">
        <f ca="1">OFFSET('Calc.U.Uncertainty'!$A$1,U135-1,AN135-1)</f>
        <v>C</v>
      </c>
      <c r="AQ135" s="291"/>
      <c r="AR135" s="291"/>
      <c r="AS135" s="291"/>
      <c r="AT135" s="292"/>
      <c r="AU135" s="249"/>
    </row>
    <row r="136" spans="1:47" s="250" customFormat="1" ht="10.199999999999999" hidden="1" outlineLevel="1">
      <c r="A136" s="238"/>
      <c r="B136" s="238"/>
      <c r="D136" s="238"/>
      <c r="E136" s="238"/>
      <c r="F136" s="238"/>
      <c r="G136" s="238"/>
      <c r="H136" s="238"/>
      <c r="I136" s="238"/>
      <c r="J136" s="238"/>
      <c r="K136" s="238"/>
      <c r="L136" s="251"/>
      <c r="M136" s="294" t="str">
        <f t="shared" si="12"/>
        <v>C.A.009</v>
      </c>
      <c r="N136" s="248"/>
      <c r="O136" s="248"/>
      <c r="P136" s="248"/>
      <c r="Q136" s="248"/>
      <c r="R136" s="248"/>
      <c r="S136" s="248"/>
      <c r="T136" s="248"/>
      <c r="U136" s="293">
        <f t="shared" si="13"/>
        <v>273</v>
      </c>
      <c r="V136" s="248"/>
      <c r="W136" s="248"/>
      <c r="X136" s="295" t="s">
        <v>515</v>
      </c>
      <c r="Y136" s="248"/>
      <c r="Z136" s="248"/>
      <c r="AA136" s="248"/>
      <c r="AB136" s="248"/>
      <c r="AC136" s="248"/>
      <c r="AD136" s="248"/>
      <c r="AE136" s="248"/>
      <c r="AF136" s="248"/>
      <c r="AG136" s="248"/>
      <c r="AH136" s="248"/>
      <c r="AI136" s="248"/>
      <c r="AJ136" s="248"/>
      <c r="AK136" s="248"/>
      <c r="AL136" s="248"/>
      <c r="AM136" s="248"/>
      <c r="AN136" s="293">
        <f t="shared" si="14"/>
        <v>68</v>
      </c>
      <c r="AO136" s="248"/>
      <c r="AP136" s="290" t="str">
        <f ca="1">OFFSET('Calc.U.Uncertainty'!$A$1,U136-1,AN136-1)</f>
        <v>C</v>
      </c>
      <c r="AQ136" s="291"/>
      <c r="AR136" s="291"/>
      <c r="AS136" s="291"/>
      <c r="AT136" s="292"/>
      <c r="AU136" s="249"/>
    </row>
    <row r="137" spans="1:47" s="250" customFormat="1" ht="10.199999999999999" hidden="1" outlineLevel="1">
      <c r="A137" s="238"/>
      <c r="B137" s="238"/>
      <c r="D137" s="238"/>
      <c r="E137" s="238"/>
      <c r="F137" s="238"/>
      <c r="G137" s="238"/>
      <c r="H137" s="238"/>
      <c r="I137" s="238"/>
      <c r="J137" s="238"/>
      <c r="K137" s="238"/>
      <c r="L137" s="251"/>
      <c r="M137" s="294" t="str">
        <f t="shared" si="12"/>
        <v>C.A.010</v>
      </c>
      <c r="N137" s="248"/>
      <c r="O137" s="248"/>
      <c r="P137" s="248"/>
      <c r="Q137" s="248"/>
      <c r="R137" s="248"/>
      <c r="S137" s="248"/>
      <c r="T137" s="248"/>
      <c r="U137" s="293">
        <f t="shared" si="13"/>
        <v>274</v>
      </c>
      <c r="V137" s="248"/>
      <c r="W137" s="248"/>
      <c r="X137" s="295" t="s">
        <v>515</v>
      </c>
      <c r="Y137" s="248"/>
      <c r="Z137" s="248"/>
      <c r="AA137" s="248"/>
      <c r="AB137" s="248"/>
      <c r="AC137" s="248"/>
      <c r="AD137" s="248"/>
      <c r="AE137" s="248"/>
      <c r="AF137" s="248"/>
      <c r="AG137" s="248"/>
      <c r="AH137" s="248"/>
      <c r="AI137" s="248"/>
      <c r="AJ137" s="248"/>
      <c r="AK137" s="248"/>
      <c r="AL137" s="248"/>
      <c r="AM137" s="248"/>
      <c r="AN137" s="293">
        <f t="shared" si="14"/>
        <v>68</v>
      </c>
      <c r="AO137" s="248"/>
      <c r="AP137" s="290" t="str">
        <f ca="1">OFFSET('Calc.U.Uncertainty'!$A$1,U137-1,AN137-1)</f>
        <v>E</v>
      </c>
      <c r="AQ137" s="291"/>
      <c r="AR137" s="291"/>
      <c r="AS137" s="291"/>
      <c r="AT137" s="292"/>
      <c r="AU137" s="249"/>
    </row>
    <row r="138" spans="1:47" s="250" customFormat="1" ht="10.199999999999999" hidden="1" outlineLevel="1">
      <c r="A138" s="238"/>
      <c r="B138" s="238"/>
      <c r="D138" s="238"/>
      <c r="E138" s="238"/>
      <c r="F138" s="238"/>
      <c r="G138" s="238"/>
      <c r="H138" s="238"/>
      <c r="I138" s="238"/>
      <c r="J138" s="238"/>
      <c r="K138" s="238"/>
      <c r="L138" s="251"/>
      <c r="M138" s="294" t="str">
        <f t="shared" si="12"/>
        <v>C.A.011</v>
      </c>
      <c r="N138" s="248"/>
      <c r="O138" s="248"/>
      <c r="P138" s="248"/>
      <c r="Q138" s="248"/>
      <c r="R138" s="248"/>
      <c r="S138" s="248"/>
      <c r="T138" s="248"/>
      <c r="U138" s="293">
        <f t="shared" si="13"/>
        <v>275</v>
      </c>
      <c r="V138" s="248"/>
      <c r="W138" s="248"/>
      <c r="X138" s="295" t="s">
        <v>515</v>
      </c>
      <c r="Y138" s="248"/>
      <c r="Z138" s="248"/>
      <c r="AA138" s="248"/>
      <c r="AB138" s="248"/>
      <c r="AC138" s="248"/>
      <c r="AD138" s="248"/>
      <c r="AE138" s="248"/>
      <c r="AF138" s="248"/>
      <c r="AG138" s="248"/>
      <c r="AH138" s="248"/>
      <c r="AI138" s="248"/>
      <c r="AJ138" s="248"/>
      <c r="AK138" s="248"/>
      <c r="AL138" s="248"/>
      <c r="AM138" s="248"/>
      <c r="AN138" s="293">
        <f t="shared" si="14"/>
        <v>68</v>
      </c>
      <c r="AO138" s="248"/>
      <c r="AP138" s="290" t="str">
        <f ca="1">OFFSET('Calc.U.Uncertainty'!$A$1,U138-1,AN138-1)</f>
        <v>D</v>
      </c>
      <c r="AQ138" s="291"/>
      <c r="AR138" s="291"/>
      <c r="AS138" s="291"/>
      <c r="AT138" s="292"/>
      <c r="AU138" s="249"/>
    </row>
    <row r="139" spans="1:47" s="250" customFormat="1" ht="10.199999999999999" hidden="1" outlineLevel="1">
      <c r="A139" s="238"/>
      <c r="B139" s="238"/>
      <c r="D139" s="238"/>
      <c r="E139" s="238"/>
      <c r="F139" s="238"/>
      <c r="G139" s="238"/>
      <c r="H139" s="238"/>
      <c r="I139" s="238"/>
      <c r="J139" s="238"/>
      <c r="K139" s="238"/>
      <c r="L139" s="251"/>
      <c r="M139" s="294" t="str">
        <f t="shared" si="12"/>
        <v>C.A.012</v>
      </c>
      <c r="N139" s="248"/>
      <c r="O139" s="248"/>
      <c r="P139" s="248"/>
      <c r="Q139" s="248"/>
      <c r="R139" s="248"/>
      <c r="S139" s="248"/>
      <c r="T139" s="248"/>
      <c r="U139" s="293">
        <f t="shared" si="13"/>
        <v>276</v>
      </c>
      <c r="V139" s="248"/>
      <c r="W139" s="248"/>
      <c r="X139" s="295" t="s">
        <v>515</v>
      </c>
      <c r="Y139" s="248"/>
      <c r="Z139" s="248"/>
      <c r="AA139" s="248"/>
      <c r="AB139" s="248"/>
      <c r="AC139" s="248"/>
      <c r="AD139" s="248"/>
      <c r="AE139" s="248"/>
      <c r="AF139" s="248"/>
      <c r="AG139" s="248"/>
      <c r="AH139" s="248"/>
      <c r="AI139" s="248"/>
      <c r="AJ139" s="248"/>
      <c r="AK139" s="248"/>
      <c r="AL139" s="248"/>
      <c r="AM139" s="248"/>
      <c r="AN139" s="293">
        <f t="shared" si="14"/>
        <v>68</v>
      </c>
      <c r="AO139" s="248"/>
      <c r="AP139" s="290" t="str">
        <f ca="1">OFFSET('Calc.U.Uncertainty'!$A$1,U139-1,AN139-1)</f>
        <v>D</v>
      </c>
      <c r="AQ139" s="291"/>
      <c r="AR139" s="291"/>
      <c r="AS139" s="291"/>
      <c r="AT139" s="292"/>
      <c r="AU139" s="249"/>
    </row>
    <row r="140" spans="1:47" s="250" customFormat="1" ht="10.199999999999999" hidden="1" outlineLevel="1">
      <c r="A140" s="238"/>
      <c r="B140" s="238"/>
      <c r="D140" s="238"/>
      <c r="E140" s="238"/>
      <c r="F140" s="238"/>
      <c r="G140" s="238"/>
      <c r="H140" s="238"/>
      <c r="I140" s="238"/>
      <c r="J140" s="238"/>
      <c r="K140" s="238"/>
      <c r="L140" s="251"/>
      <c r="M140" s="294" t="str">
        <f t="shared" si="12"/>
        <v>C.A.001</v>
      </c>
      <c r="N140" s="248"/>
      <c r="O140" s="248"/>
      <c r="P140" s="248"/>
      <c r="Q140" s="248"/>
      <c r="R140" s="248"/>
      <c r="S140" s="248"/>
      <c r="T140" s="248"/>
      <c r="U140" s="293">
        <f t="shared" si="13"/>
        <v>265</v>
      </c>
      <c r="V140" s="248"/>
      <c r="W140" s="248"/>
      <c r="X140" s="288" t="s">
        <v>722</v>
      </c>
      <c r="Y140" s="248"/>
      <c r="Z140" s="248"/>
      <c r="AA140" s="248"/>
      <c r="AB140" s="248"/>
      <c r="AC140" s="248"/>
      <c r="AD140" s="248"/>
      <c r="AE140" s="248"/>
      <c r="AF140" s="248"/>
      <c r="AG140" s="248"/>
      <c r="AH140" s="248"/>
      <c r="AI140" s="248"/>
      <c r="AJ140" s="248"/>
      <c r="AK140" s="248"/>
      <c r="AL140" s="248"/>
      <c r="AM140" s="248"/>
      <c r="AN140" s="289">
        <f>MATCH(X140,'Calc.U.Uncertainty'!$1:$1,0)</f>
        <v>95</v>
      </c>
      <c r="AO140" s="248"/>
      <c r="AP140" s="290">
        <f ca="1">OFFSET('Calc.U.Uncertainty'!$A$1,U140-1,AN140-1)</f>
        <v>0.33</v>
      </c>
      <c r="AQ140" s="291"/>
      <c r="AR140" s="291"/>
      <c r="AS140" s="291"/>
      <c r="AT140" s="292"/>
      <c r="AU140" s="249"/>
    </row>
    <row r="141" spans="1:47" s="250" customFormat="1" ht="10.199999999999999" hidden="1" outlineLevel="1">
      <c r="A141" s="238"/>
      <c r="B141" s="238"/>
      <c r="D141" s="238"/>
      <c r="E141" s="238"/>
      <c r="F141" s="238"/>
      <c r="G141" s="238"/>
      <c r="H141" s="238"/>
      <c r="I141" s="238"/>
      <c r="J141" s="238"/>
      <c r="K141" s="238"/>
      <c r="L141" s="251"/>
      <c r="M141" s="294" t="str">
        <f t="shared" si="12"/>
        <v>C.A.002</v>
      </c>
      <c r="N141" s="248"/>
      <c r="O141" s="248"/>
      <c r="P141" s="248"/>
      <c r="Q141" s="248"/>
      <c r="R141" s="248"/>
      <c r="S141" s="248"/>
      <c r="T141" s="248"/>
      <c r="U141" s="293">
        <f t="shared" si="13"/>
        <v>266</v>
      </c>
      <c r="V141" s="248"/>
      <c r="W141" s="248"/>
      <c r="X141" s="295" t="s">
        <v>722</v>
      </c>
      <c r="Y141" s="248"/>
      <c r="Z141" s="248"/>
      <c r="AA141" s="248"/>
      <c r="AB141" s="248"/>
      <c r="AC141" s="248"/>
      <c r="AD141" s="248"/>
      <c r="AE141" s="248"/>
      <c r="AF141" s="248"/>
      <c r="AG141" s="248"/>
      <c r="AH141" s="248"/>
      <c r="AI141" s="248"/>
      <c r="AJ141" s="248"/>
      <c r="AK141" s="248"/>
      <c r="AL141" s="248"/>
      <c r="AM141" s="248"/>
      <c r="AN141" s="293">
        <f t="shared" ref="AN141:AN151" si="15">AN140</f>
        <v>95</v>
      </c>
      <c r="AO141" s="248"/>
      <c r="AP141" s="290">
        <f ca="1">OFFSET('Calc.U.Uncertainty'!$A$1,U141-1,AN141-1)</f>
        <v>0.18</v>
      </c>
      <c r="AQ141" s="291"/>
      <c r="AR141" s="291"/>
      <c r="AS141" s="291"/>
      <c r="AT141" s="292"/>
      <c r="AU141" s="249"/>
    </row>
    <row r="142" spans="1:47" s="250" customFormat="1" ht="10.199999999999999" hidden="1" outlineLevel="1">
      <c r="A142" s="238"/>
      <c r="B142" s="238"/>
      <c r="D142" s="238"/>
      <c r="E142" s="238"/>
      <c r="F142" s="238"/>
      <c r="G142" s="238"/>
      <c r="H142" s="238"/>
      <c r="I142" s="238"/>
      <c r="J142" s="238"/>
      <c r="K142" s="238"/>
      <c r="L142" s="251"/>
      <c r="M142" s="294" t="str">
        <f t="shared" si="12"/>
        <v>C.A.003</v>
      </c>
      <c r="N142" s="248"/>
      <c r="O142" s="248"/>
      <c r="P142" s="248"/>
      <c r="Q142" s="248"/>
      <c r="R142" s="248"/>
      <c r="S142" s="248"/>
      <c r="T142" s="248"/>
      <c r="U142" s="293">
        <f t="shared" si="13"/>
        <v>267</v>
      </c>
      <c r="V142" s="248"/>
      <c r="W142" s="248"/>
      <c r="X142" s="295" t="s">
        <v>722</v>
      </c>
      <c r="Y142" s="248"/>
      <c r="Z142" s="248"/>
      <c r="AA142" s="248"/>
      <c r="AB142" s="248"/>
      <c r="AC142" s="248"/>
      <c r="AD142" s="248"/>
      <c r="AE142" s="248"/>
      <c r="AF142" s="248"/>
      <c r="AG142" s="248"/>
      <c r="AH142" s="248"/>
      <c r="AI142" s="248"/>
      <c r="AJ142" s="248"/>
      <c r="AK142" s="248"/>
      <c r="AL142" s="248"/>
      <c r="AM142" s="248"/>
      <c r="AN142" s="293">
        <f t="shared" si="15"/>
        <v>95</v>
      </c>
      <c r="AO142" s="248"/>
      <c r="AP142" s="290">
        <f ca="1">OFFSET('Calc.U.Uncertainty'!$A$1,U142-1,AN142-1)</f>
        <v>0.05</v>
      </c>
      <c r="AQ142" s="291"/>
      <c r="AR142" s="291"/>
      <c r="AS142" s="291"/>
      <c r="AT142" s="292"/>
      <c r="AU142" s="249"/>
    </row>
    <row r="143" spans="1:47" s="250" customFormat="1" ht="10.199999999999999" hidden="1" outlineLevel="1">
      <c r="A143" s="238"/>
      <c r="B143" s="238"/>
      <c r="D143" s="238"/>
      <c r="E143" s="238"/>
      <c r="F143" s="238"/>
      <c r="G143" s="238"/>
      <c r="H143" s="238"/>
      <c r="I143" s="238"/>
      <c r="J143" s="238"/>
      <c r="K143" s="238"/>
      <c r="L143" s="251"/>
      <c r="M143" s="294" t="str">
        <f t="shared" si="12"/>
        <v>C.A.004</v>
      </c>
      <c r="N143" s="248"/>
      <c r="O143" s="248"/>
      <c r="P143" s="248"/>
      <c r="Q143" s="248"/>
      <c r="R143" s="248"/>
      <c r="S143" s="248"/>
      <c r="T143" s="248"/>
      <c r="U143" s="293">
        <f t="shared" si="13"/>
        <v>268</v>
      </c>
      <c r="V143" s="248"/>
      <c r="W143" s="248"/>
      <c r="X143" s="295" t="s">
        <v>722</v>
      </c>
      <c r="Y143" s="248"/>
      <c r="Z143" s="248"/>
      <c r="AA143" s="248"/>
      <c r="AB143" s="248"/>
      <c r="AC143" s="248"/>
      <c r="AD143" s="248"/>
      <c r="AE143" s="248"/>
      <c r="AF143" s="248"/>
      <c r="AG143" s="248"/>
      <c r="AH143" s="248"/>
      <c r="AI143" s="248"/>
      <c r="AJ143" s="248"/>
      <c r="AK143" s="248"/>
      <c r="AL143" s="248"/>
      <c r="AM143" s="248"/>
      <c r="AN143" s="293">
        <f t="shared" si="15"/>
        <v>95</v>
      </c>
      <c r="AO143" s="248"/>
      <c r="AP143" s="290">
        <f ca="1">OFFSET('Calc.U.Uncertainty'!$A$1,U143-1,AN143-1)</f>
        <v>0.33</v>
      </c>
      <c r="AQ143" s="291"/>
      <c r="AR143" s="291"/>
      <c r="AS143" s="291"/>
      <c r="AT143" s="292"/>
      <c r="AU143" s="249"/>
    </row>
    <row r="144" spans="1:47" s="250" customFormat="1" ht="10.199999999999999" hidden="1" outlineLevel="1">
      <c r="A144" s="238"/>
      <c r="B144" s="238"/>
      <c r="D144" s="238"/>
      <c r="E144" s="238"/>
      <c r="F144" s="238"/>
      <c r="G144" s="238"/>
      <c r="H144" s="238"/>
      <c r="I144" s="238"/>
      <c r="J144" s="238"/>
      <c r="K144" s="238"/>
      <c r="L144" s="251"/>
      <c r="M144" s="294" t="str">
        <f t="shared" si="12"/>
        <v>C.A.005</v>
      </c>
      <c r="N144" s="248"/>
      <c r="O144" s="248"/>
      <c r="P144" s="248"/>
      <c r="Q144" s="248"/>
      <c r="R144" s="248"/>
      <c r="S144" s="248"/>
      <c r="T144" s="248"/>
      <c r="U144" s="293">
        <f t="shared" si="13"/>
        <v>269</v>
      </c>
      <c r="V144" s="248"/>
      <c r="W144" s="248"/>
      <c r="X144" s="295" t="s">
        <v>722</v>
      </c>
      <c r="Y144" s="248"/>
      <c r="Z144" s="248"/>
      <c r="AA144" s="248"/>
      <c r="AB144" s="248"/>
      <c r="AC144" s="248"/>
      <c r="AD144" s="248"/>
      <c r="AE144" s="248"/>
      <c r="AF144" s="248"/>
      <c r="AG144" s="248"/>
      <c r="AH144" s="248"/>
      <c r="AI144" s="248"/>
      <c r="AJ144" s="248"/>
      <c r="AK144" s="248"/>
      <c r="AL144" s="248"/>
      <c r="AM144" s="248"/>
      <c r="AN144" s="293">
        <f t="shared" si="15"/>
        <v>95</v>
      </c>
      <c r="AO144" s="248"/>
      <c r="AP144" s="290">
        <f ca="1">OFFSET('Calc.U.Uncertainty'!$A$1,U144-1,AN144-1)</f>
        <v>0.33</v>
      </c>
      <c r="AQ144" s="291"/>
      <c r="AR144" s="291"/>
      <c r="AS144" s="291"/>
      <c r="AT144" s="292"/>
      <c r="AU144" s="249"/>
    </row>
    <row r="145" spans="1:47" s="250" customFormat="1" ht="10.199999999999999" hidden="1" outlineLevel="1">
      <c r="A145" s="238"/>
      <c r="B145" s="238"/>
      <c r="D145" s="238"/>
      <c r="E145" s="238"/>
      <c r="F145" s="238"/>
      <c r="G145" s="238"/>
      <c r="H145" s="238"/>
      <c r="I145" s="238"/>
      <c r="J145" s="238"/>
      <c r="K145" s="238"/>
      <c r="L145" s="251"/>
      <c r="M145" s="294" t="str">
        <f t="shared" si="12"/>
        <v>C.A.006</v>
      </c>
      <c r="N145" s="248"/>
      <c r="O145" s="248"/>
      <c r="P145" s="248"/>
      <c r="Q145" s="248"/>
      <c r="R145" s="248"/>
      <c r="S145" s="248"/>
      <c r="T145" s="248"/>
      <c r="U145" s="293">
        <f t="shared" si="13"/>
        <v>270</v>
      </c>
      <c r="V145" s="248"/>
      <c r="W145" s="248"/>
      <c r="X145" s="295" t="s">
        <v>722</v>
      </c>
      <c r="Y145" s="248"/>
      <c r="Z145" s="248"/>
      <c r="AA145" s="248"/>
      <c r="AB145" s="248"/>
      <c r="AC145" s="248"/>
      <c r="AD145" s="248"/>
      <c r="AE145" s="248"/>
      <c r="AF145" s="248"/>
      <c r="AG145" s="248"/>
      <c r="AH145" s="248"/>
      <c r="AI145" s="248"/>
      <c r="AJ145" s="248"/>
      <c r="AK145" s="248"/>
      <c r="AL145" s="248"/>
      <c r="AM145" s="248"/>
      <c r="AN145" s="293">
        <f t="shared" si="15"/>
        <v>95</v>
      </c>
      <c r="AO145" s="248"/>
      <c r="AP145" s="290">
        <f ca="1">OFFSET('Calc.U.Uncertainty'!$A$1,U145-1,AN145-1)</f>
        <v>0.33</v>
      </c>
      <c r="AQ145" s="291"/>
      <c r="AR145" s="291"/>
      <c r="AS145" s="291"/>
      <c r="AT145" s="292"/>
      <c r="AU145" s="249"/>
    </row>
    <row r="146" spans="1:47" s="250" customFormat="1" ht="10.199999999999999" hidden="1" outlineLevel="1">
      <c r="A146" s="238"/>
      <c r="B146" s="238"/>
      <c r="D146" s="238"/>
      <c r="E146" s="238"/>
      <c r="F146" s="238"/>
      <c r="G146" s="238"/>
      <c r="H146" s="238"/>
      <c r="I146" s="238"/>
      <c r="J146" s="238"/>
      <c r="K146" s="238"/>
      <c r="L146" s="251"/>
      <c r="M146" s="294" t="str">
        <f t="shared" si="12"/>
        <v>C.A.007</v>
      </c>
      <c r="N146" s="248"/>
      <c r="O146" s="248"/>
      <c r="P146" s="248"/>
      <c r="Q146" s="248"/>
      <c r="R146" s="248"/>
      <c r="S146" s="248"/>
      <c r="T146" s="248"/>
      <c r="U146" s="293">
        <f t="shared" si="13"/>
        <v>271</v>
      </c>
      <c r="V146" s="248"/>
      <c r="W146" s="248"/>
      <c r="X146" s="295" t="s">
        <v>722</v>
      </c>
      <c r="Y146" s="248"/>
      <c r="Z146" s="248"/>
      <c r="AA146" s="248"/>
      <c r="AB146" s="248"/>
      <c r="AC146" s="248"/>
      <c r="AD146" s="248"/>
      <c r="AE146" s="248"/>
      <c r="AF146" s="248"/>
      <c r="AG146" s="248"/>
      <c r="AH146" s="248"/>
      <c r="AI146" s="248"/>
      <c r="AJ146" s="248"/>
      <c r="AK146" s="248"/>
      <c r="AL146" s="248"/>
      <c r="AM146" s="248"/>
      <c r="AN146" s="293">
        <f t="shared" si="15"/>
        <v>95</v>
      </c>
      <c r="AO146" s="248"/>
      <c r="AP146" s="290">
        <f ca="1">OFFSET('Calc.U.Uncertainty'!$A$1,U146-1,AN146-1)</f>
        <v>0.33</v>
      </c>
      <c r="AQ146" s="291"/>
      <c r="AR146" s="291"/>
      <c r="AS146" s="291"/>
      <c r="AT146" s="292"/>
      <c r="AU146" s="249"/>
    </row>
    <row r="147" spans="1:47" s="250" customFormat="1" ht="10.199999999999999" hidden="1" outlineLevel="1">
      <c r="A147" s="238"/>
      <c r="B147" s="238"/>
      <c r="D147" s="238"/>
      <c r="E147" s="238"/>
      <c r="F147" s="238"/>
      <c r="G147" s="238"/>
      <c r="H147" s="238"/>
      <c r="I147" s="238"/>
      <c r="J147" s="238"/>
      <c r="K147" s="238"/>
      <c r="L147" s="251"/>
      <c r="M147" s="294" t="str">
        <f t="shared" si="12"/>
        <v>C.A.008</v>
      </c>
      <c r="N147" s="248"/>
      <c r="O147" s="248"/>
      <c r="P147" s="248"/>
      <c r="Q147" s="248"/>
      <c r="R147" s="248"/>
      <c r="S147" s="248"/>
      <c r="T147" s="248"/>
      <c r="U147" s="293">
        <f t="shared" si="13"/>
        <v>272</v>
      </c>
      <c r="V147" s="248"/>
      <c r="W147" s="248"/>
      <c r="X147" s="295" t="s">
        <v>722</v>
      </c>
      <c r="Y147" s="248"/>
      <c r="Z147" s="248"/>
      <c r="AA147" s="248"/>
      <c r="AB147" s="248"/>
      <c r="AC147" s="248"/>
      <c r="AD147" s="248"/>
      <c r="AE147" s="248"/>
      <c r="AF147" s="248"/>
      <c r="AG147" s="248"/>
      <c r="AH147" s="248"/>
      <c r="AI147" s="248"/>
      <c r="AJ147" s="248"/>
      <c r="AK147" s="248"/>
      <c r="AL147" s="248"/>
      <c r="AM147" s="248"/>
      <c r="AN147" s="293">
        <f t="shared" si="15"/>
        <v>95</v>
      </c>
      <c r="AO147" s="248"/>
      <c r="AP147" s="290">
        <f ca="1">OFFSET('Calc.U.Uncertainty'!$A$1,U147-1,AN147-1)</f>
        <v>0.33</v>
      </c>
      <c r="AQ147" s="291"/>
      <c r="AR147" s="291"/>
      <c r="AS147" s="291"/>
      <c r="AT147" s="292"/>
      <c r="AU147" s="249"/>
    </row>
    <row r="148" spans="1:47" s="250" customFormat="1" ht="10.199999999999999" hidden="1" outlineLevel="1">
      <c r="A148" s="238"/>
      <c r="B148" s="238"/>
      <c r="D148" s="238"/>
      <c r="E148" s="238"/>
      <c r="F148" s="238"/>
      <c r="G148" s="238"/>
      <c r="H148" s="238"/>
      <c r="I148" s="238"/>
      <c r="J148" s="238"/>
      <c r="K148" s="238"/>
      <c r="L148" s="251"/>
      <c r="M148" s="294" t="str">
        <f t="shared" si="12"/>
        <v>C.A.009</v>
      </c>
      <c r="N148" s="248"/>
      <c r="O148" s="248"/>
      <c r="P148" s="248"/>
      <c r="Q148" s="248"/>
      <c r="R148" s="248"/>
      <c r="S148" s="248"/>
      <c r="T148" s="248"/>
      <c r="U148" s="293">
        <f t="shared" si="13"/>
        <v>273</v>
      </c>
      <c r="V148" s="248"/>
      <c r="W148" s="248"/>
      <c r="X148" s="295" t="s">
        <v>722</v>
      </c>
      <c r="Y148" s="248"/>
      <c r="Z148" s="248"/>
      <c r="AA148" s="248"/>
      <c r="AB148" s="248"/>
      <c r="AC148" s="248"/>
      <c r="AD148" s="248"/>
      <c r="AE148" s="248"/>
      <c r="AF148" s="248"/>
      <c r="AG148" s="248"/>
      <c r="AH148" s="248"/>
      <c r="AI148" s="248"/>
      <c r="AJ148" s="248"/>
      <c r="AK148" s="248"/>
      <c r="AL148" s="248"/>
      <c r="AM148" s="248"/>
      <c r="AN148" s="293">
        <f t="shared" si="15"/>
        <v>95</v>
      </c>
      <c r="AO148" s="248"/>
      <c r="AP148" s="290">
        <f ca="1">OFFSET('Calc.U.Uncertainty'!$A$1,U148-1,AN148-1)</f>
        <v>0.33</v>
      </c>
      <c r="AQ148" s="291"/>
      <c r="AR148" s="291"/>
      <c r="AS148" s="291"/>
      <c r="AT148" s="292"/>
      <c r="AU148" s="249"/>
    </row>
    <row r="149" spans="1:47" s="250" customFormat="1" ht="10.199999999999999" hidden="1" outlineLevel="1">
      <c r="A149" s="238"/>
      <c r="B149" s="238"/>
      <c r="D149" s="238"/>
      <c r="E149" s="238"/>
      <c r="F149" s="238"/>
      <c r="G149" s="238"/>
      <c r="H149" s="238"/>
      <c r="I149" s="238"/>
      <c r="J149" s="238"/>
      <c r="K149" s="238"/>
      <c r="L149" s="251"/>
      <c r="M149" s="294" t="str">
        <f t="shared" si="12"/>
        <v>C.A.010</v>
      </c>
      <c r="N149" s="248"/>
      <c r="O149" s="248"/>
      <c r="P149" s="248"/>
      <c r="Q149" s="248"/>
      <c r="R149" s="248"/>
      <c r="S149" s="248"/>
      <c r="T149" s="248"/>
      <c r="U149" s="293">
        <f t="shared" si="13"/>
        <v>274</v>
      </c>
      <c r="V149" s="248"/>
      <c r="W149" s="248"/>
      <c r="X149" s="295" t="s">
        <v>722</v>
      </c>
      <c r="Y149" s="248"/>
      <c r="Z149" s="248"/>
      <c r="AA149" s="248"/>
      <c r="AB149" s="248"/>
      <c r="AC149" s="248"/>
      <c r="AD149" s="248"/>
      <c r="AE149" s="248"/>
      <c r="AF149" s="248"/>
      <c r="AG149" s="248"/>
      <c r="AH149" s="248"/>
      <c r="AI149" s="248"/>
      <c r="AJ149" s="248"/>
      <c r="AK149" s="248"/>
      <c r="AL149" s="248"/>
      <c r="AM149" s="248"/>
      <c r="AN149" s="293">
        <f t="shared" si="15"/>
        <v>95</v>
      </c>
      <c r="AO149" s="248"/>
      <c r="AP149" s="290">
        <f ca="1">OFFSET('Calc.U.Uncertainty'!$A$1,U149-1,AN149-1)</f>
        <v>0.33</v>
      </c>
      <c r="AQ149" s="291"/>
      <c r="AR149" s="291"/>
      <c r="AS149" s="291"/>
      <c r="AT149" s="292"/>
      <c r="AU149" s="249"/>
    </row>
    <row r="150" spans="1:47" s="250" customFormat="1" ht="10.199999999999999" hidden="1" outlineLevel="1">
      <c r="A150" s="238"/>
      <c r="B150" s="238"/>
      <c r="D150" s="238"/>
      <c r="E150" s="238"/>
      <c r="F150" s="238"/>
      <c r="G150" s="238"/>
      <c r="H150" s="238"/>
      <c r="I150" s="238"/>
      <c r="J150" s="238"/>
      <c r="K150" s="238"/>
      <c r="L150" s="251"/>
      <c r="M150" s="294" t="str">
        <f t="shared" si="12"/>
        <v>C.A.011</v>
      </c>
      <c r="N150" s="248"/>
      <c r="O150" s="248"/>
      <c r="P150" s="248"/>
      <c r="Q150" s="248"/>
      <c r="R150" s="248"/>
      <c r="S150" s="248"/>
      <c r="T150" s="248"/>
      <c r="U150" s="293">
        <f t="shared" si="13"/>
        <v>275</v>
      </c>
      <c r="V150" s="248"/>
      <c r="W150" s="248"/>
      <c r="X150" s="295" t="s">
        <v>722</v>
      </c>
      <c r="Y150" s="248"/>
      <c r="Z150" s="248"/>
      <c r="AA150" s="248"/>
      <c r="AB150" s="248"/>
      <c r="AC150" s="248"/>
      <c r="AD150" s="248"/>
      <c r="AE150" s="248"/>
      <c r="AF150" s="248"/>
      <c r="AG150" s="248"/>
      <c r="AH150" s="248"/>
      <c r="AI150" s="248"/>
      <c r="AJ150" s="248"/>
      <c r="AK150" s="248"/>
      <c r="AL150" s="248"/>
      <c r="AM150" s="248"/>
      <c r="AN150" s="293">
        <f t="shared" si="15"/>
        <v>95</v>
      </c>
      <c r="AO150" s="248"/>
      <c r="AP150" s="290">
        <f ca="1">OFFSET('Calc.U.Uncertainty'!$A$1,U150-1,AN150-1)</f>
        <v>0.33</v>
      </c>
      <c r="AQ150" s="291"/>
      <c r="AR150" s="291"/>
      <c r="AS150" s="291"/>
      <c r="AT150" s="292"/>
      <c r="AU150" s="249"/>
    </row>
    <row r="151" spans="1:47" s="250" customFormat="1" ht="10.199999999999999" hidden="1" outlineLevel="1">
      <c r="A151" s="238"/>
      <c r="B151" s="238"/>
      <c r="D151" s="238"/>
      <c r="E151" s="238"/>
      <c r="F151" s="238"/>
      <c r="G151" s="238"/>
      <c r="H151" s="238"/>
      <c r="I151" s="238"/>
      <c r="J151" s="238"/>
      <c r="K151" s="238"/>
      <c r="L151" s="251"/>
      <c r="M151" s="294" t="str">
        <f t="shared" si="12"/>
        <v>C.A.012</v>
      </c>
      <c r="N151" s="248"/>
      <c r="O151" s="248"/>
      <c r="P151" s="248"/>
      <c r="Q151" s="248"/>
      <c r="R151" s="248"/>
      <c r="S151" s="248"/>
      <c r="T151" s="248"/>
      <c r="U151" s="293">
        <f t="shared" si="13"/>
        <v>276</v>
      </c>
      <c r="V151" s="248"/>
      <c r="W151" s="248"/>
      <c r="X151" s="295" t="s">
        <v>722</v>
      </c>
      <c r="Y151" s="248"/>
      <c r="Z151" s="248"/>
      <c r="AA151" s="248"/>
      <c r="AB151" s="248"/>
      <c r="AC151" s="248"/>
      <c r="AD151" s="248"/>
      <c r="AE151" s="248"/>
      <c r="AF151" s="248"/>
      <c r="AG151" s="248"/>
      <c r="AH151" s="248"/>
      <c r="AI151" s="248"/>
      <c r="AJ151" s="248"/>
      <c r="AK151" s="248"/>
      <c r="AL151" s="248"/>
      <c r="AM151" s="248"/>
      <c r="AN151" s="293">
        <f t="shared" si="15"/>
        <v>95</v>
      </c>
      <c r="AO151" s="248"/>
      <c r="AP151" s="290">
        <f ca="1">OFFSET('Calc.U.Uncertainty'!$A$1,U151-1,AN151-1)</f>
        <v>0.33</v>
      </c>
      <c r="AQ151" s="291"/>
      <c r="AR151" s="291"/>
      <c r="AS151" s="291"/>
      <c r="AT151" s="292"/>
      <c r="AU151" s="249"/>
    </row>
    <row r="152" spans="1:47" s="250" customFormat="1" ht="10.199999999999999" hidden="1" outlineLevel="1">
      <c r="A152" s="238"/>
      <c r="B152" s="238"/>
      <c r="D152" s="238"/>
      <c r="E152" s="238"/>
      <c r="F152" s="238"/>
      <c r="G152" s="238"/>
      <c r="H152" s="238"/>
      <c r="I152" s="238"/>
      <c r="J152" s="238"/>
      <c r="K152" s="238"/>
      <c r="L152" s="251"/>
      <c r="M152" s="294" t="str">
        <f t="shared" si="12"/>
        <v>C.A.001</v>
      </c>
      <c r="N152" s="248"/>
      <c r="O152" s="248"/>
      <c r="P152" s="248"/>
      <c r="Q152" s="248"/>
      <c r="R152" s="248"/>
      <c r="S152" s="248"/>
      <c r="T152" s="248"/>
      <c r="U152" s="293">
        <f t="shared" si="13"/>
        <v>265</v>
      </c>
      <c r="V152" s="248"/>
      <c r="W152" s="248"/>
      <c r="X152" s="288" t="s">
        <v>725</v>
      </c>
      <c r="Y152" s="248"/>
      <c r="Z152" s="248"/>
      <c r="AA152" s="248"/>
      <c r="AB152" s="248"/>
      <c r="AC152" s="248"/>
      <c r="AD152" s="248"/>
      <c r="AE152" s="248"/>
      <c r="AF152" s="248"/>
      <c r="AG152" s="248"/>
      <c r="AH152" s="248"/>
      <c r="AI152" s="248"/>
      <c r="AJ152" s="248"/>
      <c r="AK152" s="248"/>
      <c r="AL152" s="248"/>
      <c r="AM152" s="248"/>
      <c r="AN152" s="289">
        <f>MATCH(X152,'Calc.U.Uncertainty'!$1:$1,0)</f>
        <v>96</v>
      </c>
      <c r="AO152" s="248"/>
      <c r="AP152" s="290">
        <f ca="1">OFFSET('Calc.U.Uncertainty'!$A$1,U152-1,AN152-1)</f>
        <v>0</v>
      </c>
      <c r="AQ152" s="291"/>
      <c r="AR152" s="291"/>
      <c r="AS152" s="291"/>
      <c r="AT152" s="292"/>
      <c r="AU152" s="249"/>
    </row>
    <row r="153" spans="1:47" s="250" customFormat="1" ht="10.199999999999999" hidden="1" outlineLevel="1">
      <c r="A153" s="238"/>
      <c r="B153" s="238"/>
      <c r="D153" s="238"/>
      <c r="E153" s="238"/>
      <c r="F153" s="238"/>
      <c r="G153" s="238"/>
      <c r="H153" s="238"/>
      <c r="I153" s="238"/>
      <c r="J153" s="238"/>
      <c r="K153" s="238"/>
      <c r="L153" s="251"/>
      <c r="M153" s="294" t="str">
        <f t="shared" si="12"/>
        <v>C.A.002</v>
      </c>
      <c r="N153" s="248"/>
      <c r="O153" s="248"/>
      <c r="P153" s="248"/>
      <c r="Q153" s="248"/>
      <c r="R153" s="248"/>
      <c r="S153" s="248"/>
      <c r="T153" s="248"/>
      <c r="U153" s="293">
        <f t="shared" si="13"/>
        <v>266</v>
      </c>
      <c r="V153" s="248"/>
      <c r="W153" s="248"/>
      <c r="X153" s="295" t="s">
        <v>725</v>
      </c>
      <c r="Y153" s="248"/>
      <c r="Z153" s="248"/>
      <c r="AA153" s="248"/>
      <c r="AB153" s="248"/>
      <c r="AC153" s="248"/>
      <c r="AD153" s="248"/>
      <c r="AE153" s="248"/>
      <c r="AF153" s="248"/>
      <c r="AG153" s="248"/>
      <c r="AH153" s="248"/>
      <c r="AI153" s="248"/>
      <c r="AJ153" s="248"/>
      <c r="AK153" s="248"/>
      <c r="AL153" s="248"/>
      <c r="AM153" s="248"/>
      <c r="AN153" s="293">
        <f t="shared" ref="AN153:AN163" si="16">AN152</f>
        <v>96</v>
      </c>
      <c r="AO153" s="248"/>
      <c r="AP153" s="290">
        <f ca="1">OFFSET('Calc.U.Uncertainty'!$A$1,U153-1,AN153-1)</f>
        <v>0</v>
      </c>
      <c r="AQ153" s="291"/>
      <c r="AR153" s="291"/>
      <c r="AS153" s="291"/>
      <c r="AT153" s="292"/>
      <c r="AU153" s="249"/>
    </row>
    <row r="154" spans="1:47" s="250" customFormat="1" ht="10.199999999999999" hidden="1" outlineLevel="1">
      <c r="A154" s="238"/>
      <c r="B154" s="238"/>
      <c r="D154" s="238"/>
      <c r="E154" s="238"/>
      <c r="F154" s="238"/>
      <c r="G154" s="238"/>
      <c r="H154" s="238"/>
      <c r="I154" s="238"/>
      <c r="J154" s="238"/>
      <c r="K154" s="238"/>
      <c r="L154" s="251"/>
      <c r="M154" s="294" t="str">
        <f t="shared" si="12"/>
        <v>C.A.003</v>
      </c>
      <c r="N154" s="248"/>
      <c r="O154" s="248"/>
      <c r="P154" s="248"/>
      <c r="Q154" s="248"/>
      <c r="R154" s="248"/>
      <c r="S154" s="248"/>
      <c r="T154" s="248"/>
      <c r="U154" s="293">
        <f t="shared" si="13"/>
        <v>267</v>
      </c>
      <c r="V154" s="248"/>
      <c r="W154" s="248"/>
      <c r="X154" s="295" t="s">
        <v>725</v>
      </c>
      <c r="Y154" s="248"/>
      <c r="Z154" s="248"/>
      <c r="AA154" s="248"/>
      <c r="AB154" s="248"/>
      <c r="AC154" s="248"/>
      <c r="AD154" s="248"/>
      <c r="AE154" s="248"/>
      <c r="AF154" s="248"/>
      <c r="AG154" s="248"/>
      <c r="AH154" s="248"/>
      <c r="AI154" s="248"/>
      <c r="AJ154" s="248"/>
      <c r="AK154" s="248"/>
      <c r="AL154" s="248"/>
      <c r="AM154" s="248"/>
      <c r="AN154" s="293">
        <f t="shared" si="16"/>
        <v>96</v>
      </c>
      <c r="AO154" s="248"/>
      <c r="AP154" s="290">
        <f ca="1">OFFSET('Calc.U.Uncertainty'!$A$1,U154-1,AN154-1)</f>
        <v>0</v>
      </c>
      <c r="AQ154" s="291"/>
      <c r="AR154" s="291"/>
      <c r="AS154" s="291"/>
      <c r="AT154" s="292"/>
      <c r="AU154" s="249"/>
    </row>
    <row r="155" spans="1:47" s="250" customFormat="1" ht="10.199999999999999" hidden="1" outlineLevel="1">
      <c r="A155" s="238"/>
      <c r="B155" s="238"/>
      <c r="D155" s="238"/>
      <c r="E155" s="238"/>
      <c r="F155" s="238"/>
      <c r="G155" s="238"/>
      <c r="H155" s="238"/>
      <c r="I155" s="238"/>
      <c r="J155" s="238"/>
      <c r="K155" s="238"/>
      <c r="L155" s="251"/>
      <c r="M155" s="294" t="str">
        <f t="shared" si="12"/>
        <v>C.A.004</v>
      </c>
      <c r="N155" s="248"/>
      <c r="O155" s="248"/>
      <c r="P155" s="248"/>
      <c r="Q155" s="248"/>
      <c r="R155" s="248"/>
      <c r="S155" s="248"/>
      <c r="T155" s="248"/>
      <c r="U155" s="293">
        <f t="shared" si="13"/>
        <v>268</v>
      </c>
      <c r="V155" s="248"/>
      <c r="W155" s="248"/>
      <c r="X155" s="295" t="s">
        <v>725</v>
      </c>
      <c r="Y155" s="248"/>
      <c r="Z155" s="248"/>
      <c r="AA155" s="248"/>
      <c r="AB155" s="248"/>
      <c r="AC155" s="248"/>
      <c r="AD155" s="248"/>
      <c r="AE155" s="248"/>
      <c r="AF155" s="248"/>
      <c r="AG155" s="248"/>
      <c r="AH155" s="248"/>
      <c r="AI155" s="248"/>
      <c r="AJ155" s="248"/>
      <c r="AK155" s="248"/>
      <c r="AL155" s="248"/>
      <c r="AM155" s="248"/>
      <c r="AN155" s="293">
        <f t="shared" si="16"/>
        <v>96</v>
      </c>
      <c r="AO155" s="248"/>
      <c r="AP155" s="290">
        <f ca="1">OFFSET('Calc.U.Uncertainty'!$A$1,U155-1,AN155-1)</f>
        <v>0</v>
      </c>
      <c r="AQ155" s="291"/>
      <c r="AR155" s="291"/>
      <c r="AS155" s="291"/>
      <c r="AT155" s="292"/>
      <c r="AU155" s="249"/>
    </row>
    <row r="156" spans="1:47" s="250" customFormat="1" ht="10.199999999999999" hidden="1" outlineLevel="1">
      <c r="A156" s="238"/>
      <c r="B156" s="238"/>
      <c r="D156" s="238"/>
      <c r="E156" s="238"/>
      <c r="F156" s="238"/>
      <c r="G156" s="238"/>
      <c r="H156" s="238"/>
      <c r="I156" s="238"/>
      <c r="J156" s="238"/>
      <c r="K156" s="238"/>
      <c r="L156" s="251"/>
      <c r="M156" s="294" t="str">
        <f t="shared" si="12"/>
        <v>C.A.005</v>
      </c>
      <c r="N156" s="248"/>
      <c r="O156" s="248"/>
      <c r="P156" s="248"/>
      <c r="Q156" s="248"/>
      <c r="R156" s="248"/>
      <c r="S156" s="248"/>
      <c r="T156" s="248"/>
      <c r="U156" s="293">
        <f t="shared" si="13"/>
        <v>269</v>
      </c>
      <c r="V156" s="248"/>
      <c r="W156" s="248"/>
      <c r="X156" s="295" t="s">
        <v>725</v>
      </c>
      <c r="Y156" s="248"/>
      <c r="Z156" s="248"/>
      <c r="AA156" s="248"/>
      <c r="AB156" s="248"/>
      <c r="AC156" s="248"/>
      <c r="AD156" s="248"/>
      <c r="AE156" s="248"/>
      <c r="AF156" s="248"/>
      <c r="AG156" s="248"/>
      <c r="AH156" s="248"/>
      <c r="AI156" s="248"/>
      <c r="AJ156" s="248"/>
      <c r="AK156" s="248"/>
      <c r="AL156" s="248"/>
      <c r="AM156" s="248"/>
      <c r="AN156" s="293">
        <f t="shared" si="16"/>
        <v>96</v>
      </c>
      <c r="AO156" s="248"/>
      <c r="AP156" s="290">
        <f ca="1">OFFSET('Calc.U.Uncertainty'!$A$1,U156-1,AN156-1)</f>
        <v>0</v>
      </c>
      <c r="AQ156" s="291"/>
      <c r="AR156" s="291"/>
      <c r="AS156" s="291"/>
      <c r="AT156" s="292"/>
      <c r="AU156" s="249"/>
    </row>
    <row r="157" spans="1:47" s="250" customFormat="1" ht="10.199999999999999" hidden="1" outlineLevel="1">
      <c r="A157" s="238"/>
      <c r="B157" s="238"/>
      <c r="D157" s="238"/>
      <c r="E157" s="238"/>
      <c r="F157" s="238"/>
      <c r="G157" s="238"/>
      <c r="H157" s="238"/>
      <c r="I157" s="238"/>
      <c r="J157" s="238"/>
      <c r="K157" s="238"/>
      <c r="L157" s="251"/>
      <c r="M157" s="294" t="str">
        <f t="shared" si="12"/>
        <v>C.A.006</v>
      </c>
      <c r="N157" s="248"/>
      <c r="O157" s="248"/>
      <c r="P157" s="248"/>
      <c r="Q157" s="248"/>
      <c r="R157" s="248"/>
      <c r="S157" s="248"/>
      <c r="T157" s="248"/>
      <c r="U157" s="293">
        <f t="shared" si="13"/>
        <v>270</v>
      </c>
      <c r="V157" s="248"/>
      <c r="W157" s="248"/>
      <c r="X157" s="295" t="s">
        <v>725</v>
      </c>
      <c r="Y157" s="248"/>
      <c r="Z157" s="248"/>
      <c r="AA157" s="248"/>
      <c r="AB157" s="248"/>
      <c r="AC157" s="248"/>
      <c r="AD157" s="248"/>
      <c r="AE157" s="248"/>
      <c r="AF157" s="248"/>
      <c r="AG157" s="248"/>
      <c r="AH157" s="248"/>
      <c r="AI157" s="248"/>
      <c r="AJ157" s="248"/>
      <c r="AK157" s="248"/>
      <c r="AL157" s="248"/>
      <c r="AM157" s="248"/>
      <c r="AN157" s="293">
        <f t="shared" si="16"/>
        <v>96</v>
      </c>
      <c r="AO157" s="248"/>
      <c r="AP157" s="290">
        <f ca="1">OFFSET('Calc.U.Uncertainty'!$A$1,U157-1,AN157-1)</f>
        <v>0</v>
      </c>
      <c r="AQ157" s="291"/>
      <c r="AR157" s="291"/>
      <c r="AS157" s="291"/>
      <c r="AT157" s="292"/>
      <c r="AU157" s="249"/>
    </row>
    <row r="158" spans="1:47" s="250" customFormat="1" ht="10.199999999999999" hidden="1" outlineLevel="1">
      <c r="A158" s="238"/>
      <c r="B158" s="238"/>
      <c r="D158" s="238"/>
      <c r="E158" s="238"/>
      <c r="F158" s="238"/>
      <c r="G158" s="238"/>
      <c r="H158" s="238"/>
      <c r="I158" s="238"/>
      <c r="J158" s="238"/>
      <c r="K158" s="238"/>
      <c r="L158" s="251"/>
      <c r="M158" s="294" t="str">
        <f t="shared" si="12"/>
        <v>C.A.007</v>
      </c>
      <c r="N158" s="248"/>
      <c r="O158" s="248"/>
      <c r="P158" s="248"/>
      <c r="Q158" s="248"/>
      <c r="R158" s="248"/>
      <c r="S158" s="248"/>
      <c r="T158" s="248"/>
      <c r="U158" s="293">
        <f t="shared" si="13"/>
        <v>271</v>
      </c>
      <c r="V158" s="248"/>
      <c r="W158" s="248"/>
      <c r="X158" s="295" t="s">
        <v>725</v>
      </c>
      <c r="Y158" s="248"/>
      <c r="Z158" s="248"/>
      <c r="AA158" s="248"/>
      <c r="AB158" s="248"/>
      <c r="AC158" s="248"/>
      <c r="AD158" s="248"/>
      <c r="AE158" s="248"/>
      <c r="AF158" s="248"/>
      <c r="AG158" s="248"/>
      <c r="AH158" s="248"/>
      <c r="AI158" s="248"/>
      <c r="AJ158" s="248"/>
      <c r="AK158" s="248"/>
      <c r="AL158" s="248"/>
      <c r="AM158" s="248"/>
      <c r="AN158" s="293">
        <f t="shared" si="16"/>
        <v>96</v>
      </c>
      <c r="AO158" s="248"/>
      <c r="AP158" s="290">
        <f ca="1">OFFSET('Calc.U.Uncertainty'!$A$1,U158-1,AN158-1)</f>
        <v>0</v>
      </c>
      <c r="AQ158" s="291"/>
      <c r="AR158" s="291"/>
      <c r="AS158" s="291"/>
      <c r="AT158" s="292"/>
      <c r="AU158" s="249"/>
    </row>
    <row r="159" spans="1:47" s="250" customFormat="1" ht="10.199999999999999" hidden="1" outlineLevel="1">
      <c r="A159" s="238"/>
      <c r="B159" s="238"/>
      <c r="D159" s="238"/>
      <c r="E159" s="238"/>
      <c r="F159" s="238"/>
      <c r="G159" s="238"/>
      <c r="H159" s="238"/>
      <c r="I159" s="238"/>
      <c r="J159" s="238"/>
      <c r="K159" s="238"/>
      <c r="L159" s="251"/>
      <c r="M159" s="294" t="str">
        <f t="shared" si="12"/>
        <v>C.A.008</v>
      </c>
      <c r="N159" s="248"/>
      <c r="O159" s="248"/>
      <c r="P159" s="248"/>
      <c r="Q159" s="248"/>
      <c r="R159" s="248"/>
      <c r="S159" s="248"/>
      <c r="T159" s="248"/>
      <c r="U159" s="293">
        <f t="shared" si="13"/>
        <v>272</v>
      </c>
      <c r="V159" s="248"/>
      <c r="W159" s="248"/>
      <c r="X159" s="295" t="s">
        <v>725</v>
      </c>
      <c r="Y159" s="248"/>
      <c r="Z159" s="248"/>
      <c r="AA159" s="248"/>
      <c r="AB159" s="248"/>
      <c r="AC159" s="248"/>
      <c r="AD159" s="248"/>
      <c r="AE159" s="248"/>
      <c r="AF159" s="248"/>
      <c r="AG159" s="248"/>
      <c r="AH159" s="248"/>
      <c r="AI159" s="248"/>
      <c r="AJ159" s="248"/>
      <c r="AK159" s="248"/>
      <c r="AL159" s="248"/>
      <c r="AM159" s="248"/>
      <c r="AN159" s="293">
        <f t="shared" si="16"/>
        <v>96</v>
      </c>
      <c r="AO159" s="248"/>
      <c r="AP159" s="290">
        <f ca="1">OFFSET('Calc.U.Uncertainty'!$A$1,U159-1,AN159-1)</f>
        <v>0.2</v>
      </c>
      <c r="AQ159" s="291"/>
      <c r="AR159" s="291"/>
      <c r="AS159" s="291"/>
      <c r="AT159" s="292"/>
      <c r="AU159" s="249"/>
    </row>
    <row r="160" spans="1:47" s="250" customFormat="1" ht="10.199999999999999" hidden="1" outlineLevel="1">
      <c r="A160" s="238"/>
      <c r="B160" s="238"/>
      <c r="D160" s="238"/>
      <c r="E160" s="238"/>
      <c r="F160" s="238"/>
      <c r="G160" s="238"/>
      <c r="H160" s="238"/>
      <c r="I160" s="238"/>
      <c r="J160" s="238"/>
      <c r="K160" s="238"/>
      <c r="L160" s="251"/>
      <c r="M160" s="294" t="str">
        <f t="shared" si="12"/>
        <v>C.A.009</v>
      </c>
      <c r="N160" s="248"/>
      <c r="O160" s="248"/>
      <c r="P160" s="248"/>
      <c r="Q160" s="248"/>
      <c r="R160" s="248"/>
      <c r="S160" s="248"/>
      <c r="T160" s="248"/>
      <c r="U160" s="293">
        <f t="shared" si="13"/>
        <v>273</v>
      </c>
      <c r="V160" s="248"/>
      <c r="W160" s="248"/>
      <c r="X160" s="295" t="s">
        <v>725</v>
      </c>
      <c r="Y160" s="248"/>
      <c r="Z160" s="248"/>
      <c r="AA160" s="248"/>
      <c r="AB160" s="248"/>
      <c r="AC160" s="248"/>
      <c r="AD160" s="248"/>
      <c r="AE160" s="248"/>
      <c r="AF160" s="248"/>
      <c r="AG160" s="248"/>
      <c r="AH160" s="248"/>
      <c r="AI160" s="248"/>
      <c r="AJ160" s="248"/>
      <c r="AK160" s="248"/>
      <c r="AL160" s="248"/>
      <c r="AM160" s="248"/>
      <c r="AN160" s="293">
        <f t="shared" si="16"/>
        <v>96</v>
      </c>
      <c r="AO160" s="248"/>
      <c r="AP160" s="290">
        <f ca="1">OFFSET('Calc.U.Uncertainty'!$A$1,U160-1,AN160-1)</f>
        <v>0</v>
      </c>
      <c r="AQ160" s="291"/>
      <c r="AR160" s="291"/>
      <c r="AS160" s="291"/>
      <c r="AT160" s="292"/>
      <c r="AU160" s="249"/>
    </row>
    <row r="161" spans="1:47" s="250" customFormat="1" ht="10.199999999999999" hidden="1" outlineLevel="1">
      <c r="A161" s="238"/>
      <c r="B161" s="238"/>
      <c r="D161" s="238"/>
      <c r="E161" s="238"/>
      <c r="F161" s="238"/>
      <c r="G161" s="238"/>
      <c r="H161" s="238"/>
      <c r="I161" s="238"/>
      <c r="J161" s="238"/>
      <c r="K161" s="238"/>
      <c r="L161" s="251"/>
      <c r="M161" s="294" t="str">
        <f t="shared" si="12"/>
        <v>C.A.010</v>
      </c>
      <c r="N161" s="248"/>
      <c r="O161" s="248"/>
      <c r="P161" s="248"/>
      <c r="Q161" s="248"/>
      <c r="R161" s="248"/>
      <c r="S161" s="248"/>
      <c r="T161" s="248"/>
      <c r="U161" s="293">
        <f t="shared" si="13"/>
        <v>274</v>
      </c>
      <c r="V161" s="248"/>
      <c r="W161" s="248"/>
      <c r="X161" s="295" t="s">
        <v>725</v>
      </c>
      <c r="Y161" s="248"/>
      <c r="Z161" s="248"/>
      <c r="AA161" s="248"/>
      <c r="AB161" s="248"/>
      <c r="AC161" s="248"/>
      <c r="AD161" s="248"/>
      <c r="AE161" s="248"/>
      <c r="AF161" s="248"/>
      <c r="AG161" s="248"/>
      <c r="AH161" s="248"/>
      <c r="AI161" s="248"/>
      <c r="AJ161" s="248"/>
      <c r="AK161" s="248"/>
      <c r="AL161" s="248"/>
      <c r="AM161" s="248"/>
      <c r="AN161" s="293">
        <f t="shared" si="16"/>
        <v>96</v>
      </c>
      <c r="AO161" s="248"/>
      <c r="AP161" s="290">
        <f ca="1">OFFSET('Calc.U.Uncertainty'!$A$1,U161-1,AN161-1)</f>
        <v>0.38</v>
      </c>
      <c r="AQ161" s="291"/>
      <c r="AR161" s="291"/>
      <c r="AS161" s="291"/>
      <c r="AT161" s="292"/>
      <c r="AU161" s="249"/>
    </row>
    <row r="162" spans="1:47" s="250" customFormat="1" ht="10.199999999999999" hidden="1" outlineLevel="1">
      <c r="A162" s="238"/>
      <c r="B162" s="238"/>
      <c r="D162" s="238"/>
      <c r="E162" s="238"/>
      <c r="F162" s="238"/>
      <c r="G162" s="238"/>
      <c r="H162" s="238"/>
      <c r="I162" s="238"/>
      <c r="J162" s="238"/>
      <c r="K162" s="238"/>
      <c r="L162" s="251"/>
      <c r="M162" s="294" t="str">
        <f t="shared" si="12"/>
        <v>C.A.011</v>
      </c>
      <c r="N162" s="248"/>
      <c r="O162" s="248"/>
      <c r="P162" s="248"/>
      <c r="Q162" s="248"/>
      <c r="R162" s="248"/>
      <c r="S162" s="248"/>
      <c r="T162" s="248"/>
      <c r="U162" s="293">
        <f t="shared" si="13"/>
        <v>275</v>
      </c>
      <c r="V162" s="248"/>
      <c r="W162" s="248"/>
      <c r="X162" s="295" t="s">
        <v>725</v>
      </c>
      <c r="Y162" s="248"/>
      <c r="Z162" s="248"/>
      <c r="AA162" s="248"/>
      <c r="AB162" s="248"/>
      <c r="AC162" s="248"/>
      <c r="AD162" s="248"/>
      <c r="AE162" s="248"/>
      <c r="AF162" s="248"/>
      <c r="AG162" s="248"/>
      <c r="AH162" s="248"/>
      <c r="AI162" s="248"/>
      <c r="AJ162" s="248"/>
      <c r="AK162" s="248"/>
      <c r="AL162" s="248"/>
      <c r="AM162" s="248"/>
      <c r="AN162" s="293">
        <f t="shared" si="16"/>
        <v>96</v>
      </c>
      <c r="AO162" s="248"/>
      <c r="AP162" s="290">
        <f ca="1">OFFSET('Calc.U.Uncertainty'!$A$1,U162-1,AN162-1)</f>
        <v>9.9999999999999978E-2</v>
      </c>
      <c r="AQ162" s="291"/>
      <c r="AR162" s="291"/>
      <c r="AS162" s="291"/>
      <c r="AT162" s="292"/>
      <c r="AU162" s="249"/>
    </row>
    <row r="163" spans="1:47" s="250" customFormat="1" ht="10.199999999999999" hidden="1" outlineLevel="1">
      <c r="A163" s="238"/>
      <c r="B163" s="238"/>
      <c r="D163" s="238"/>
      <c r="E163" s="238"/>
      <c r="F163" s="238"/>
      <c r="G163" s="238"/>
      <c r="H163" s="238"/>
      <c r="I163" s="238"/>
      <c r="J163" s="238"/>
      <c r="K163" s="238"/>
      <c r="L163" s="251"/>
      <c r="M163" s="294" t="str">
        <f t="shared" si="12"/>
        <v>C.A.012</v>
      </c>
      <c r="N163" s="248"/>
      <c r="O163" s="248"/>
      <c r="P163" s="248"/>
      <c r="Q163" s="248"/>
      <c r="R163" s="248"/>
      <c r="S163" s="248"/>
      <c r="T163" s="248"/>
      <c r="U163" s="293">
        <f t="shared" si="13"/>
        <v>276</v>
      </c>
      <c r="V163" s="248"/>
      <c r="W163" s="248"/>
      <c r="X163" s="295" t="s">
        <v>725</v>
      </c>
      <c r="Y163" s="248"/>
      <c r="Z163" s="248"/>
      <c r="AA163" s="248"/>
      <c r="AB163" s="248"/>
      <c r="AC163" s="248"/>
      <c r="AD163" s="248"/>
      <c r="AE163" s="248"/>
      <c r="AF163" s="248"/>
      <c r="AG163" s="248"/>
      <c r="AH163" s="248"/>
      <c r="AI163" s="248"/>
      <c r="AJ163" s="248"/>
      <c r="AK163" s="248"/>
      <c r="AL163" s="248"/>
      <c r="AM163" s="248"/>
      <c r="AN163" s="293">
        <f t="shared" si="16"/>
        <v>96</v>
      </c>
      <c r="AO163" s="248"/>
      <c r="AP163" s="290">
        <f ca="1">OFFSET('Calc.U.Uncertainty'!$A$1,U163-1,AN163-1)</f>
        <v>9.9999999999999978E-2</v>
      </c>
      <c r="AQ163" s="291"/>
      <c r="AR163" s="291"/>
      <c r="AS163" s="291"/>
      <c r="AT163" s="292"/>
      <c r="AU163" s="249"/>
    </row>
    <row r="164" spans="1:47" s="250" customFormat="1" ht="10.199999999999999" hidden="1" outlineLevel="1">
      <c r="A164" s="238"/>
      <c r="B164" s="238"/>
      <c r="D164" s="238"/>
      <c r="E164" s="238"/>
      <c r="F164" s="238"/>
      <c r="G164" s="238"/>
      <c r="H164" s="238"/>
      <c r="I164" s="238"/>
      <c r="J164" s="238"/>
      <c r="K164" s="238"/>
      <c r="L164" s="251"/>
      <c r="M164" s="294" t="str">
        <f t="shared" si="12"/>
        <v>C.A.001</v>
      </c>
      <c r="N164" s="248"/>
      <c r="O164" s="248"/>
      <c r="P164" s="248"/>
      <c r="Q164" s="248"/>
      <c r="R164" s="248"/>
      <c r="S164" s="248"/>
      <c r="T164" s="248"/>
      <c r="U164" s="293">
        <f t="shared" si="13"/>
        <v>265</v>
      </c>
      <c r="V164" s="248"/>
      <c r="W164" s="248"/>
      <c r="X164" s="288" t="s">
        <v>723</v>
      </c>
      <c r="Y164" s="248"/>
      <c r="Z164" s="248"/>
      <c r="AA164" s="248"/>
      <c r="AB164" s="248"/>
      <c r="AC164" s="248"/>
      <c r="AD164" s="248"/>
      <c r="AE164" s="248"/>
      <c r="AF164" s="248"/>
      <c r="AG164" s="248"/>
      <c r="AH164" s="248"/>
      <c r="AI164" s="248"/>
      <c r="AJ164" s="248"/>
      <c r="AK164" s="248"/>
      <c r="AL164" s="248"/>
      <c r="AM164" s="248"/>
      <c r="AN164" s="289">
        <f>MATCH(X164,'Calc.U.Uncertainty'!$1:$1,0)</f>
        <v>97</v>
      </c>
      <c r="AO164" s="248"/>
      <c r="AP164" s="296">
        <f ca="1">OFFSET('Calc.U.Uncertainty'!$A$1,U164-1,AN164-1)/100</f>
        <v>0</v>
      </c>
      <c r="AQ164" s="297"/>
      <c r="AR164" s="297"/>
      <c r="AS164" s="297"/>
      <c r="AT164" s="298"/>
      <c r="AU164" s="249"/>
    </row>
    <row r="165" spans="1:47" s="250" customFormat="1" ht="10.199999999999999" hidden="1" outlineLevel="1">
      <c r="A165" s="238"/>
      <c r="B165" s="238"/>
      <c r="D165" s="238"/>
      <c r="E165" s="238"/>
      <c r="F165" s="238"/>
      <c r="G165" s="238"/>
      <c r="H165" s="238"/>
      <c r="I165" s="238"/>
      <c r="J165" s="238"/>
      <c r="K165" s="238"/>
      <c r="L165" s="251"/>
      <c r="M165" s="294" t="str">
        <f t="shared" si="12"/>
        <v>C.A.002</v>
      </c>
      <c r="N165" s="248"/>
      <c r="O165" s="248"/>
      <c r="P165" s="248"/>
      <c r="Q165" s="248"/>
      <c r="R165" s="248"/>
      <c r="S165" s="248"/>
      <c r="T165" s="248"/>
      <c r="U165" s="293">
        <f t="shared" si="13"/>
        <v>266</v>
      </c>
      <c r="V165" s="248"/>
      <c r="W165" s="248"/>
      <c r="X165" s="295" t="s">
        <v>723</v>
      </c>
      <c r="Y165" s="248"/>
      <c r="Z165" s="248"/>
      <c r="AA165" s="248"/>
      <c r="AB165" s="248"/>
      <c r="AC165" s="248"/>
      <c r="AD165" s="248"/>
      <c r="AE165" s="248"/>
      <c r="AF165" s="248"/>
      <c r="AG165" s="248"/>
      <c r="AH165" s="248"/>
      <c r="AI165" s="248"/>
      <c r="AJ165" s="248"/>
      <c r="AK165" s="248"/>
      <c r="AL165" s="248"/>
      <c r="AM165" s="248"/>
      <c r="AN165" s="293">
        <f t="shared" ref="AN165:AN175" si="17">AN164</f>
        <v>97</v>
      </c>
      <c r="AO165" s="248"/>
      <c r="AP165" s="296">
        <f ca="1">OFFSET('Calc.U.Uncertainty'!$A$1,U165-1,AN165-1)/100</f>
        <v>0</v>
      </c>
      <c r="AQ165" s="297"/>
      <c r="AR165" s="297"/>
      <c r="AS165" s="297"/>
      <c r="AT165" s="298"/>
      <c r="AU165" s="249"/>
    </row>
    <row r="166" spans="1:47" s="250" customFormat="1" ht="10.199999999999999" hidden="1" outlineLevel="1">
      <c r="A166" s="238"/>
      <c r="B166" s="238"/>
      <c r="D166" s="238"/>
      <c r="E166" s="238"/>
      <c r="F166" s="238"/>
      <c r="G166" s="238"/>
      <c r="H166" s="238"/>
      <c r="I166" s="238"/>
      <c r="J166" s="238"/>
      <c r="K166" s="238"/>
      <c r="L166" s="251"/>
      <c r="M166" s="294" t="str">
        <f t="shared" si="12"/>
        <v>C.A.003</v>
      </c>
      <c r="N166" s="248"/>
      <c r="O166" s="248"/>
      <c r="P166" s="248"/>
      <c r="Q166" s="248"/>
      <c r="R166" s="248"/>
      <c r="S166" s="248"/>
      <c r="T166" s="248"/>
      <c r="U166" s="293">
        <f t="shared" si="13"/>
        <v>267</v>
      </c>
      <c r="V166" s="248"/>
      <c r="W166" s="248"/>
      <c r="X166" s="295" t="s">
        <v>723</v>
      </c>
      <c r="Y166" s="248"/>
      <c r="Z166" s="248"/>
      <c r="AA166" s="248"/>
      <c r="AB166" s="248"/>
      <c r="AC166" s="248"/>
      <c r="AD166" s="248"/>
      <c r="AE166" s="248"/>
      <c r="AF166" s="248"/>
      <c r="AG166" s="248"/>
      <c r="AH166" s="248"/>
      <c r="AI166" s="248"/>
      <c r="AJ166" s="248"/>
      <c r="AK166" s="248"/>
      <c r="AL166" s="248"/>
      <c r="AM166" s="248"/>
      <c r="AN166" s="293">
        <f t="shared" si="17"/>
        <v>97</v>
      </c>
      <c r="AO166" s="248"/>
      <c r="AP166" s="296">
        <f ca="1">OFFSET('Calc.U.Uncertainty'!$A$1,U166-1,AN166-1)/100</f>
        <v>0</v>
      </c>
      <c r="AQ166" s="297"/>
      <c r="AR166" s="297"/>
      <c r="AS166" s="297"/>
      <c r="AT166" s="298"/>
      <c r="AU166" s="249"/>
    </row>
    <row r="167" spans="1:47" s="250" customFormat="1" ht="10.199999999999999" hidden="1" outlineLevel="1">
      <c r="A167" s="238"/>
      <c r="B167" s="238"/>
      <c r="D167" s="238"/>
      <c r="E167" s="238"/>
      <c r="F167" s="238"/>
      <c r="G167" s="238"/>
      <c r="H167" s="238"/>
      <c r="I167" s="238"/>
      <c r="J167" s="238"/>
      <c r="K167" s="238"/>
      <c r="L167" s="251"/>
      <c r="M167" s="294" t="str">
        <f t="shared" si="12"/>
        <v>C.A.004</v>
      </c>
      <c r="N167" s="248"/>
      <c r="O167" s="248"/>
      <c r="P167" s="248"/>
      <c r="Q167" s="248"/>
      <c r="R167" s="248"/>
      <c r="S167" s="248"/>
      <c r="T167" s="248"/>
      <c r="U167" s="293">
        <f t="shared" si="13"/>
        <v>268</v>
      </c>
      <c r="V167" s="248"/>
      <c r="W167" s="248"/>
      <c r="X167" s="295" t="s">
        <v>723</v>
      </c>
      <c r="Y167" s="248"/>
      <c r="Z167" s="248"/>
      <c r="AA167" s="248"/>
      <c r="AB167" s="248"/>
      <c r="AC167" s="248"/>
      <c r="AD167" s="248"/>
      <c r="AE167" s="248"/>
      <c r="AF167" s="248"/>
      <c r="AG167" s="248"/>
      <c r="AH167" s="248"/>
      <c r="AI167" s="248"/>
      <c r="AJ167" s="248"/>
      <c r="AK167" s="248"/>
      <c r="AL167" s="248"/>
      <c r="AM167" s="248"/>
      <c r="AN167" s="293">
        <f t="shared" si="17"/>
        <v>97</v>
      </c>
      <c r="AO167" s="248"/>
      <c r="AP167" s="296">
        <f ca="1">OFFSET('Calc.U.Uncertainty'!$A$1,U167-1,AN167-1)/100</f>
        <v>0.01</v>
      </c>
      <c r="AQ167" s="297"/>
      <c r="AR167" s="297"/>
      <c r="AS167" s="297"/>
      <c r="AT167" s="298"/>
      <c r="AU167" s="249"/>
    </row>
    <row r="168" spans="1:47" s="250" customFormat="1" ht="10.199999999999999" hidden="1" outlineLevel="1">
      <c r="A168" s="238"/>
      <c r="B168" s="238"/>
      <c r="D168" s="238"/>
      <c r="E168" s="238"/>
      <c r="F168" s="238"/>
      <c r="G168" s="238"/>
      <c r="H168" s="238"/>
      <c r="I168" s="238"/>
      <c r="J168" s="238"/>
      <c r="K168" s="238"/>
      <c r="L168" s="251"/>
      <c r="M168" s="294" t="str">
        <f t="shared" si="12"/>
        <v>C.A.005</v>
      </c>
      <c r="N168" s="248"/>
      <c r="O168" s="248"/>
      <c r="P168" s="248"/>
      <c r="Q168" s="248"/>
      <c r="R168" s="248"/>
      <c r="S168" s="248"/>
      <c r="T168" s="248"/>
      <c r="U168" s="293">
        <f t="shared" si="13"/>
        <v>269</v>
      </c>
      <c r="V168" s="248"/>
      <c r="W168" s="248"/>
      <c r="X168" s="295" t="s">
        <v>723</v>
      </c>
      <c r="Y168" s="248"/>
      <c r="Z168" s="248"/>
      <c r="AA168" s="248"/>
      <c r="AB168" s="248"/>
      <c r="AC168" s="248"/>
      <c r="AD168" s="248"/>
      <c r="AE168" s="248"/>
      <c r="AF168" s="248"/>
      <c r="AG168" s="248"/>
      <c r="AH168" s="248"/>
      <c r="AI168" s="248"/>
      <c r="AJ168" s="248"/>
      <c r="AK168" s="248"/>
      <c r="AL168" s="248"/>
      <c r="AM168" s="248"/>
      <c r="AN168" s="293">
        <f t="shared" si="17"/>
        <v>97</v>
      </c>
      <c r="AO168" s="248"/>
      <c r="AP168" s="296">
        <f ca="1">OFFSET('Calc.U.Uncertainty'!$A$1,U168-1,AN168-1)/100</f>
        <v>0.02</v>
      </c>
      <c r="AQ168" s="297"/>
      <c r="AR168" s="297"/>
      <c r="AS168" s="297"/>
      <c r="AT168" s="298"/>
      <c r="AU168" s="249"/>
    </row>
    <row r="169" spans="1:47" s="250" customFormat="1" ht="10.199999999999999" hidden="1" outlineLevel="1">
      <c r="A169" s="238"/>
      <c r="B169" s="238"/>
      <c r="D169" s="238"/>
      <c r="E169" s="238"/>
      <c r="F169" s="238"/>
      <c r="G169" s="238"/>
      <c r="H169" s="238"/>
      <c r="I169" s="238"/>
      <c r="J169" s="238"/>
      <c r="K169" s="238"/>
      <c r="L169" s="251"/>
      <c r="M169" s="294" t="str">
        <f t="shared" si="12"/>
        <v>C.A.006</v>
      </c>
      <c r="N169" s="248"/>
      <c r="O169" s="248"/>
      <c r="P169" s="248"/>
      <c r="Q169" s="248"/>
      <c r="R169" s="248"/>
      <c r="S169" s="248"/>
      <c r="T169" s="248"/>
      <c r="U169" s="293">
        <f t="shared" si="13"/>
        <v>270</v>
      </c>
      <c r="V169" s="248"/>
      <c r="W169" s="248"/>
      <c r="X169" s="295" t="s">
        <v>723</v>
      </c>
      <c r="Y169" s="248"/>
      <c r="Z169" s="248"/>
      <c r="AA169" s="248"/>
      <c r="AB169" s="248"/>
      <c r="AC169" s="248"/>
      <c r="AD169" s="248"/>
      <c r="AE169" s="248"/>
      <c r="AF169" s="248"/>
      <c r="AG169" s="248"/>
      <c r="AH169" s="248"/>
      <c r="AI169" s="248"/>
      <c r="AJ169" s="248"/>
      <c r="AK169" s="248"/>
      <c r="AL169" s="248"/>
      <c r="AM169" s="248"/>
      <c r="AN169" s="293">
        <f t="shared" si="17"/>
        <v>97</v>
      </c>
      <c r="AO169" s="248"/>
      <c r="AP169" s="296">
        <f ca="1">OFFSET('Calc.U.Uncertainty'!$A$1,U169-1,AN169-1)/100</f>
        <v>0.01</v>
      </c>
      <c r="AQ169" s="297"/>
      <c r="AR169" s="297"/>
      <c r="AS169" s="297"/>
      <c r="AT169" s="298"/>
      <c r="AU169" s="249"/>
    </row>
    <row r="170" spans="1:47" s="250" customFormat="1" ht="10.199999999999999" hidden="1" outlineLevel="1">
      <c r="A170" s="238"/>
      <c r="B170" s="238"/>
      <c r="D170" s="238"/>
      <c r="E170" s="238"/>
      <c r="F170" s="238"/>
      <c r="G170" s="238"/>
      <c r="H170" s="238"/>
      <c r="I170" s="238"/>
      <c r="J170" s="238"/>
      <c r="K170" s="238"/>
      <c r="L170" s="251"/>
      <c r="M170" s="294" t="str">
        <f t="shared" si="12"/>
        <v>C.A.007</v>
      </c>
      <c r="N170" s="248"/>
      <c r="O170" s="248"/>
      <c r="P170" s="248"/>
      <c r="Q170" s="248"/>
      <c r="R170" s="248"/>
      <c r="S170" s="248"/>
      <c r="T170" s="248"/>
      <c r="U170" s="293">
        <f t="shared" si="13"/>
        <v>271</v>
      </c>
      <c r="V170" s="248"/>
      <c r="W170" s="248"/>
      <c r="X170" s="295" t="s">
        <v>723</v>
      </c>
      <c r="Y170" s="248"/>
      <c r="Z170" s="248"/>
      <c r="AA170" s="248"/>
      <c r="AB170" s="248"/>
      <c r="AC170" s="248"/>
      <c r="AD170" s="248"/>
      <c r="AE170" s="248"/>
      <c r="AF170" s="248"/>
      <c r="AG170" s="248"/>
      <c r="AH170" s="248"/>
      <c r="AI170" s="248"/>
      <c r="AJ170" s="248"/>
      <c r="AK170" s="248"/>
      <c r="AL170" s="248"/>
      <c r="AM170" s="248"/>
      <c r="AN170" s="293">
        <f t="shared" si="17"/>
        <v>97</v>
      </c>
      <c r="AO170" s="248"/>
      <c r="AP170" s="296">
        <f ca="1">OFFSET('Calc.U.Uncertainty'!$A$1,U170-1,AN170-1)/100</f>
        <v>5.0000000000000001E-3</v>
      </c>
      <c r="AQ170" s="297"/>
      <c r="AR170" s="297"/>
      <c r="AS170" s="297"/>
      <c r="AT170" s="298"/>
      <c r="AU170" s="249"/>
    </row>
    <row r="171" spans="1:47" s="250" customFormat="1" ht="10.199999999999999" hidden="1" outlineLevel="1">
      <c r="A171" s="238"/>
      <c r="B171" s="238"/>
      <c r="D171" s="238"/>
      <c r="E171" s="238"/>
      <c r="F171" s="238"/>
      <c r="G171" s="238"/>
      <c r="H171" s="238"/>
      <c r="I171" s="238"/>
      <c r="J171" s="238"/>
      <c r="K171" s="238"/>
      <c r="L171" s="251"/>
      <c r="M171" s="294" t="str">
        <f t="shared" si="12"/>
        <v>C.A.008</v>
      </c>
      <c r="N171" s="248"/>
      <c r="O171" s="248"/>
      <c r="P171" s="248"/>
      <c r="Q171" s="248"/>
      <c r="R171" s="248"/>
      <c r="S171" s="248"/>
      <c r="T171" s="248"/>
      <c r="U171" s="293">
        <f t="shared" si="13"/>
        <v>272</v>
      </c>
      <c r="V171" s="248"/>
      <c r="W171" s="248"/>
      <c r="X171" s="295" t="s">
        <v>723</v>
      </c>
      <c r="Y171" s="248"/>
      <c r="Z171" s="248"/>
      <c r="AA171" s="248"/>
      <c r="AB171" s="248"/>
      <c r="AC171" s="248"/>
      <c r="AD171" s="248"/>
      <c r="AE171" s="248"/>
      <c r="AF171" s="248"/>
      <c r="AG171" s="248"/>
      <c r="AH171" s="248"/>
      <c r="AI171" s="248"/>
      <c r="AJ171" s="248"/>
      <c r="AK171" s="248"/>
      <c r="AL171" s="248"/>
      <c r="AM171" s="248"/>
      <c r="AN171" s="293">
        <f t="shared" si="17"/>
        <v>97</v>
      </c>
      <c r="AO171" s="248"/>
      <c r="AP171" s="296">
        <f ca="1">OFFSET('Calc.U.Uncertainty'!$A$1,U171-1,AN171-1)/100</f>
        <v>0.02</v>
      </c>
      <c r="AQ171" s="297"/>
      <c r="AR171" s="297"/>
      <c r="AS171" s="297"/>
      <c r="AT171" s="298"/>
      <c r="AU171" s="249"/>
    </row>
    <row r="172" spans="1:47" s="250" customFormat="1" ht="10.199999999999999" hidden="1" outlineLevel="1">
      <c r="A172" s="238"/>
      <c r="B172" s="238"/>
      <c r="D172" s="238"/>
      <c r="E172" s="238"/>
      <c r="F172" s="238"/>
      <c r="G172" s="238"/>
      <c r="H172" s="238"/>
      <c r="I172" s="238"/>
      <c r="J172" s="238"/>
      <c r="K172" s="238"/>
      <c r="L172" s="251"/>
      <c r="M172" s="294" t="str">
        <f t="shared" si="12"/>
        <v>C.A.009</v>
      </c>
      <c r="N172" s="248"/>
      <c r="O172" s="248"/>
      <c r="P172" s="248"/>
      <c r="Q172" s="248"/>
      <c r="R172" s="248"/>
      <c r="S172" s="248"/>
      <c r="T172" s="248"/>
      <c r="U172" s="293">
        <f t="shared" si="13"/>
        <v>273</v>
      </c>
      <c r="V172" s="248"/>
      <c r="W172" s="248"/>
      <c r="X172" s="295" t="s">
        <v>723</v>
      </c>
      <c r="Y172" s="248"/>
      <c r="Z172" s="248"/>
      <c r="AA172" s="248"/>
      <c r="AB172" s="248"/>
      <c r="AC172" s="248"/>
      <c r="AD172" s="248"/>
      <c r="AE172" s="248"/>
      <c r="AF172" s="248"/>
      <c r="AG172" s="248"/>
      <c r="AH172" s="248"/>
      <c r="AI172" s="248"/>
      <c r="AJ172" s="248"/>
      <c r="AK172" s="248"/>
      <c r="AL172" s="248"/>
      <c r="AM172" s="248"/>
      <c r="AN172" s="293">
        <f t="shared" si="17"/>
        <v>97</v>
      </c>
      <c r="AO172" s="248"/>
      <c r="AP172" s="296">
        <f ca="1">OFFSET('Calc.U.Uncertainty'!$A$1,U172-1,AN172-1)/100</f>
        <v>0.02</v>
      </c>
      <c r="AQ172" s="297"/>
      <c r="AR172" s="297"/>
      <c r="AS172" s="297"/>
      <c r="AT172" s="298"/>
      <c r="AU172" s="249"/>
    </row>
    <row r="173" spans="1:47" s="250" customFormat="1" ht="10.199999999999999" hidden="1" outlineLevel="1">
      <c r="A173" s="238"/>
      <c r="B173" s="238"/>
      <c r="D173" s="238"/>
      <c r="E173" s="238"/>
      <c r="F173" s="238"/>
      <c r="G173" s="238"/>
      <c r="H173" s="238"/>
      <c r="I173" s="238"/>
      <c r="J173" s="238"/>
      <c r="K173" s="238"/>
      <c r="L173" s="251"/>
      <c r="M173" s="294" t="str">
        <f t="shared" si="12"/>
        <v>C.A.010</v>
      </c>
      <c r="N173" s="248"/>
      <c r="O173" s="248"/>
      <c r="P173" s="248"/>
      <c r="Q173" s="248"/>
      <c r="R173" s="248"/>
      <c r="S173" s="248"/>
      <c r="T173" s="248"/>
      <c r="U173" s="293">
        <f t="shared" si="13"/>
        <v>274</v>
      </c>
      <c r="V173" s="248"/>
      <c r="W173" s="248"/>
      <c r="X173" s="295" t="s">
        <v>723</v>
      </c>
      <c r="Y173" s="248"/>
      <c r="Z173" s="248"/>
      <c r="AA173" s="248"/>
      <c r="AB173" s="248"/>
      <c r="AC173" s="248"/>
      <c r="AD173" s="248"/>
      <c r="AE173" s="248"/>
      <c r="AF173" s="248"/>
      <c r="AG173" s="248"/>
      <c r="AH173" s="248"/>
      <c r="AI173" s="248"/>
      <c r="AJ173" s="248"/>
      <c r="AK173" s="248"/>
      <c r="AL173" s="248"/>
      <c r="AM173" s="248"/>
      <c r="AN173" s="293">
        <f t="shared" si="17"/>
        <v>97</v>
      </c>
      <c r="AO173" s="248"/>
      <c r="AP173" s="296">
        <f ca="1">OFFSET('Calc.U.Uncertainty'!$A$1,U173-1,AN173-1)/100</f>
        <v>0.06</v>
      </c>
      <c r="AQ173" s="297"/>
      <c r="AR173" s="297"/>
      <c r="AS173" s="297"/>
      <c r="AT173" s="298"/>
      <c r="AU173" s="249"/>
    </row>
    <row r="174" spans="1:47" s="250" customFormat="1" ht="10.199999999999999" hidden="1" outlineLevel="1">
      <c r="A174" s="238"/>
      <c r="B174" s="238"/>
      <c r="D174" s="238"/>
      <c r="E174" s="238"/>
      <c r="F174" s="238"/>
      <c r="G174" s="238"/>
      <c r="H174" s="238"/>
      <c r="I174" s="238"/>
      <c r="J174" s="238"/>
      <c r="K174" s="238"/>
      <c r="L174" s="251"/>
      <c r="M174" s="294" t="str">
        <f t="shared" si="12"/>
        <v>C.A.011</v>
      </c>
      <c r="N174" s="248"/>
      <c r="O174" s="248"/>
      <c r="P174" s="248"/>
      <c r="Q174" s="248"/>
      <c r="R174" s="248"/>
      <c r="S174" s="248"/>
      <c r="T174" s="248"/>
      <c r="U174" s="293">
        <f t="shared" si="13"/>
        <v>275</v>
      </c>
      <c r="V174" s="248"/>
      <c r="W174" s="248"/>
      <c r="X174" s="295" t="s">
        <v>723</v>
      </c>
      <c r="Y174" s="248"/>
      <c r="Z174" s="248"/>
      <c r="AA174" s="248"/>
      <c r="AB174" s="248"/>
      <c r="AC174" s="248"/>
      <c r="AD174" s="248"/>
      <c r="AE174" s="248"/>
      <c r="AF174" s="248"/>
      <c r="AG174" s="248"/>
      <c r="AH174" s="248"/>
      <c r="AI174" s="248"/>
      <c r="AJ174" s="248"/>
      <c r="AK174" s="248"/>
      <c r="AL174" s="248"/>
      <c r="AM174" s="248"/>
      <c r="AN174" s="293">
        <f t="shared" si="17"/>
        <v>97</v>
      </c>
      <c r="AO174" s="248"/>
      <c r="AP174" s="296">
        <f ca="1">OFFSET('Calc.U.Uncertainty'!$A$1,U174-1,AN174-1)/100</f>
        <v>3.6000000000000004E-2</v>
      </c>
      <c r="AQ174" s="297"/>
      <c r="AR174" s="297"/>
      <c r="AS174" s="297"/>
      <c r="AT174" s="298"/>
      <c r="AU174" s="249"/>
    </row>
    <row r="175" spans="1:47" s="250" customFormat="1" ht="10.199999999999999" hidden="1" outlineLevel="1">
      <c r="A175" s="238"/>
      <c r="B175" s="238"/>
      <c r="D175" s="238"/>
      <c r="E175" s="238"/>
      <c r="F175" s="238"/>
      <c r="G175" s="238"/>
      <c r="H175" s="238"/>
      <c r="I175" s="238"/>
      <c r="J175" s="238"/>
      <c r="K175" s="238"/>
      <c r="L175" s="251"/>
      <c r="M175" s="294" t="str">
        <f t="shared" si="12"/>
        <v>C.A.012</v>
      </c>
      <c r="N175" s="248"/>
      <c r="O175" s="248"/>
      <c r="P175" s="248"/>
      <c r="Q175" s="248"/>
      <c r="R175" s="248"/>
      <c r="S175" s="248"/>
      <c r="T175" s="248"/>
      <c r="U175" s="293">
        <f t="shared" si="13"/>
        <v>276</v>
      </c>
      <c r="V175" s="248"/>
      <c r="W175" s="248"/>
      <c r="X175" s="295" t="s">
        <v>723</v>
      </c>
      <c r="Y175" s="248"/>
      <c r="Z175" s="248"/>
      <c r="AA175" s="248"/>
      <c r="AB175" s="248"/>
      <c r="AC175" s="248"/>
      <c r="AD175" s="248"/>
      <c r="AE175" s="248"/>
      <c r="AF175" s="248"/>
      <c r="AG175" s="248"/>
      <c r="AH175" s="248"/>
      <c r="AI175" s="248"/>
      <c r="AJ175" s="248"/>
      <c r="AK175" s="248"/>
      <c r="AL175" s="248"/>
      <c r="AM175" s="248"/>
      <c r="AN175" s="293">
        <f t="shared" si="17"/>
        <v>97</v>
      </c>
      <c r="AO175" s="248"/>
      <c r="AP175" s="296">
        <f ca="1">OFFSET('Calc.U.Uncertainty'!$A$1,U175-1,AN175-1)/100</f>
        <v>0.05</v>
      </c>
      <c r="AQ175" s="297"/>
      <c r="AR175" s="297"/>
      <c r="AS175" s="297"/>
      <c r="AT175" s="298"/>
      <c r="AU175" s="249"/>
    </row>
    <row r="176" spans="1:47" s="250" customFormat="1" ht="10.199999999999999" hidden="1" outlineLevel="1">
      <c r="A176" s="238"/>
      <c r="B176" s="238"/>
      <c r="D176" s="238"/>
      <c r="E176" s="238"/>
      <c r="F176" s="238"/>
      <c r="G176" s="238"/>
      <c r="H176" s="238"/>
      <c r="I176" s="238"/>
      <c r="J176" s="238"/>
      <c r="K176" s="238"/>
      <c r="L176" s="251"/>
      <c r="M176" s="294" t="str">
        <f t="shared" si="12"/>
        <v>C.A.001</v>
      </c>
      <c r="N176" s="248"/>
      <c r="O176" s="248"/>
      <c r="P176" s="248"/>
      <c r="Q176" s="248"/>
      <c r="R176" s="248"/>
      <c r="S176" s="248"/>
      <c r="T176" s="248"/>
      <c r="U176" s="293">
        <f t="shared" si="13"/>
        <v>265</v>
      </c>
      <c r="V176" s="248"/>
      <c r="W176" s="248"/>
      <c r="X176" s="288" t="s">
        <v>724</v>
      </c>
      <c r="Y176" s="248"/>
      <c r="Z176" s="248"/>
      <c r="AA176" s="248"/>
      <c r="AB176" s="248"/>
      <c r="AC176" s="248"/>
      <c r="AD176" s="248"/>
      <c r="AE176" s="248"/>
      <c r="AF176" s="248"/>
      <c r="AG176" s="248"/>
      <c r="AH176" s="248"/>
      <c r="AI176" s="248"/>
      <c r="AJ176" s="248"/>
      <c r="AK176" s="248"/>
      <c r="AL176" s="248"/>
      <c r="AM176" s="248"/>
      <c r="AN176" s="289">
        <f>MATCH(X176,'Calc.U.Uncertainty'!$1:$1,0)</f>
        <v>98</v>
      </c>
      <c r="AO176" s="248"/>
      <c r="AP176" s="290">
        <f ca="1">OFFSET('Calc.U.Uncertainty'!$A$1,U176-1,AN176-1)</f>
        <v>0</v>
      </c>
      <c r="AQ176" s="291"/>
      <c r="AR176" s="291"/>
      <c r="AS176" s="291"/>
      <c r="AT176" s="292"/>
      <c r="AU176" s="249"/>
    </row>
    <row r="177" spans="1:47" s="250" customFormat="1" ht="10.199999999999999" hidden="1" outlineLevel="1">
      <c r="A177" s="238"/>
      <c r="B177" s="238"/>
      <c r="D177" s="238"/>
      <c r="E177" s="238"/>
      <c r="F177" s="238"/>
      <c r="G177" s="238"/>
      <c r="H177" s="238"/>
      <c r="I177" s="238"/>
      <c r="J177" s="238"/>
      <c r="K177" s="238"/>
      <c r="L177" s="251"/>
      <c r="M177" s="294" t="str">
        <f t="shared" si="12"/>
        <v>C.A.002</v>
      </c>
      <c r="N177" s="248"/>
      <c r="O177" s="248"/>
      <c r="P177" s="248"/>
      <c r="Q177" s="248"/>
      <c r="R177" s="248"/>
      <c r="S177" s="248"/>
      <c r="T177" s="248"/>
      <c r="U177" s="293">
        <f t="shared" si="13"/>
        <v>266</v>
      </c>
      <c r="V177" s="248"/>
      <c r="W177" s="248"/>
      <c r="X177" s="295" t="s">
        <v>724</v>
      </c>
      <c r="Y177" s="248"/>
      <c r="Z177" s="248"/>
      <c r="AA177" s="248"/>
      <c r="AB177" s="248"/>
      <c r="AC177" s="248"/>
      <c r="AD177" s="248"/>
      <c r="AE177" s="248"/>
      <c r="AF177" s="248"/>
      <c r="AG177" s="248"/>
      <c r="AH177" s="248"/>
      <c r="AI177" s="248"/>
      <c r="AJ177" s="248"/>
      <c r="AK177" s="248"/>
      <c r="AL177" s="248"/>
      <c r="AM177" s="248"/>
      <c r="AN177" s="293">
        <f t="shared" ref="AN177:AN187" si="18">AN176</f>
        <v>98</v>
      </c>
      <c r="AO177" s="248"/>
      <c r="AP177" s="290">
        <f ca="1">OFFSET('Calc.U.Uncertainty'!$A$1,U177-1,AN177-1)</f>
        <v>0</v>
      </c>
      <c r="AQ177" s="291"/>
      <c r="AR177" s="291"/>
      <c r="AS177" s="291"/>
      <c r="AT177" s="292"/>
      <c r="AU177" s="249"/>
    </row>
    <row r="178" spans="1:47" s="250" customFormat="1" ht="10.199999999999999" hidden="1" outlineLevel="1">
      <c r="A178" s="238"/>
      <c r="B178" s="238"/>
      <c r="D178" s="238"/>
      <c r="E178" s="238"/>
      <c r="F178" s="238"/>
      <c r="G178" s="238"/>
      <c r="H178" s="238"/>
      <c r="I178" s="238"/>
      <c r="J178" s="238"/>
      <c r="K178" s="238"/>
      <c r="L178" s="251"/>
      <c r="M178" s="294" t="str">
        <f t="shared" si="12"/>
        <v>C.A.003</v>
      </c>
      <c r="N178" s="248"/>
      <c r="O178" s="248"/>
      <c r="P178" s="248"/>
      <c r="Q178" s="248"/>
      <c r="R178" s="248"/>
      <c r="S178" s="248"/>
      <c r="T178" s="248"/>
      <c r="U178" s="293">
        <f t="shared" si="13"/>
        <v>267</v>
      </c>
      <c r="V178" s="248"/>
      <c r="W178" s="248"/>
      <c r="X178" s="295" t="s">
        <v>724</v>
      </c>
      <c r="Y178" s="248"/>
      <c r="Z178" s="248"/>
      <c r="AA178" s="248"/>
      <c r="AB178" s="248"/>
      <c r="AC178" s="248"/>
      <c r="AD178" s="248"/>
      <c r="AE178" s="248"/>
      <c r="AF178" s="248"/>
      <c r="AG178" s="248"/>
      <c r="AH178" s="248"/>
      <c r="AI178" s="248"/>
      <c r="AJ178" s="248"/>
      <c r="AK178" s="248"/>
      <c r="AL178" s="248"/>
      <c r="AM178" s="248"/>
      <c r="AN178" s="293">
        <f t="shared" si="18"/>
        <v>98</v>
      </c>
      <c r="AO178" s="248"/>
      <c r="AP178" s="290">
        <f ca="1">OFFSET('Calc.U.Uncertainty'!$A$1,U178-1,AN178-1)</f>
        <v>0</v>
      </c>
      <c r="AQ178" s="291"/>
      <c r="AR178" s="291"/>
      <c r="AS178" s="291"/>
      <c r="AT178" s="292"/>
      <c r="AU178" s="249"/>
    </row>
    <row r="179" spans="1:47" s="250" customFormat="1" ht="10.199999999999999" hidden="1" outlineLevel="1">
      <c r="A179" s="238"/>
      <c r="B179" s="238"/>
      <c r="D179" s="238"/>
      <c r="E179" s="238"/>
      <c r="F179" s="238"/>
      <c r="G179" s="238"/>
      <c r="H179" s="238"/>
      <c r="I179" s="238"/>
      <c r="J179" s="238"/>
      <c r="K179" s="238"/>
      <c r="L179" s="251"/>
      <c r="M179" s="294" t="str">
        <f t="shared" si="12"/>
        <v>C.A.004</v>
      </c>
      <c r="N179" s="248"/>
      <c r="O179" s="248"/>
      <c r="P179" s="248"/>
      <c r="Q179" s="248"/>
      <c r="R179" s="248"/>
      <c r="S179" s="248"/>
      <c r="T179" s="248"/>
      <c r="U179" s="293">
        <f t="shared" si="13"/>
        <v>268</v>
      </c>
      <c r="V179" s="248"/>
      <c r="W179" s="248"/>
      <c r="X179" s="295" t="s">
        <v>724</v>
      </c>
      <c r="Y179" s="248"/>
      <c r="Z179" s="248"/>
      <c r="AA179" s="248"/>
      <c r="AB179" s="248"/>
      <c r="AC179" s="248"/>
      <c r="AD179" s="248"/>
      <c r="AE179" s="248"/>
      <c r="AF179" s="248"/>
      <c r="AG179" s="248"/>
      <c r="AH179" s="248"/>
      <c r="AI179" s="248"/>
      <c r="AJ179" s="248"/>
      <c r="AK179" s="248"/>
      <c r="AL179" s="248"/>
      <c r="AM179" s="248"/>
      <c r="AN179" s="293">
        <f t="shared" si="18"/>
        <v>98</v>
      </c>
      <c r="AO179" s="248"/>
      <c r="AP179" s="290">
        <f ca="1">OFFSET('Calc.U.Uncertainty'!$A$1,U179-1,AN179-1)</f>
        <v>6.7499999999999999E-3</v>
      </c>
      <c r="AQ179" s="291"/>
      <c r="AR179" s="291"/>
      <c r="AS179" s="291"/>
      <c r="AT179" s="292"/>
      <c r="AU179" s="249"/>
    </row>
    <row r="180" spans="1:47" s="250" customFormat="1" ht="10.199999999999999" hidden="1" outlineLevel="1">
      <c r="A180" s="238"/>
      <c r="B180" s="238"/>
      <c r="D180" s="238"/>
      <c r="E180" s="238"/>
      <c r="F180" s="238"/>
      <c r="G180" s="238"/>
      <c r="H180" s="238"/>
      <c r="I180" s="238"/>
      <c r="J180" s="238"/>
      <c r="K180" s="238"/>
      <c r="L180" s="251"/>
      <c r="M180" s="294" t="str">
        <f t="shared" si="12"/>
        <v>C.A.005</v>
      </c>
      <c r="N180" s="248"/>
      <c r="O180" s="248"/>
      <c r="P180" s="248"/>
      <c r="Q180" s="248"/>
      <c r="R180" s="248"/>
      <c r="S180" s="248"/>
      <c r="T180" s="248"/>
      <c r="U180" s="293">
        <f t="shared" si="13"/>
        <v>269</v>
      </c>
      <c r="V180" s="248"/>
      <c r="W180" s="248"/>
      <c r="X180" s="295" t="s">
        <v>724</v>
      </c>
      <c r="Y180" s="248"/>
      <c r="Z180" s="248"/>
      <c r="AA180" s="248"/>
      <c r="AB180" s="248"/>
      <c r="AC180" s="248"/>
      <c r="AD180" s="248"/>
      <c r="AE180" s="248"/>
      <c r="AF180" s="248"/>
      <c r="AG180" s="248"/>
      <c r="AH180" s="248"/>
      <c r="AI180" s="248"/>
      <c r="AJ180" s="248"/>
      <c r="AK180" s="248"/>
      <c r="AL180" s="248"/>
      <c r="AM180" s="248"/>
      <c r="AN180" s="293">
        <f t="shared" si="18"/>
        <v>98</v>
      </c>
      <c r="AO180" s="248"/>
      <c r="AP180" s="290">
        <f ca="1">OFFSET('Calc.U.Uncertainty'!$A$1,U180-1,AN180-1)</f>
        <v>5.2500000000000003E-3</v>
      </c>
      <c r="AQ180" s="291"/>
      <c r="AR180" s="291"/>
      <c r="AS180" s="291"/>
      <c r="AT180" s="292"/>
      <c r="AU180" s="249"/>
    </row>
    <row r="181" spans="1:47" s="250" customFormat="1" ht="10.199999999999999" hidden="1" outlineLevel="1">
      <c r="A181" s="238"/>
      <c r="B181" s="238"/>
      <c r="D181" s="238"/>
      <c r="E181" s="238"/>
      <c r="F181" s="238"/>
      <c r="G181" s="238"/>
      <c r="H181" s="238"/>
      <c r="I181" s="238"/>
      <c r="J181" s="238"/>
      <c r="K181" s="238"/>
      <c r="L181" s="251"/>
      <c r="M181" s="294" t="str">
        <f t="shared" si="12"/>
        <v>C.A.006</v>
      </c>
      <c r="N181" s="248"/>
      <c r="O181" s="248"/>
      <c r="P181" s="248"/>
      <c r="Q181" s="248"/>
      <c r="R181" s="248"/>
      <c r="S181" s="248"/>
      <c r="T181" s="248"/>
      <c r="U181" s="293">
        <f t="shared" si="13"/>
        <v>270</v>
      </c>
      <c r="V181" s="248"/>
      <c r="W181" s="248"/>
      <c r="X181" s="295" t="s">
        <v>724</v>
      </c>
      <c r="Y181" s="248"/>
      <c r="Z181" s="248"/>
      <c r="AA181" s="248"/>
      <c r="AB181" s="248"/>
      <c r="AC181" s="248"/>
      <c r="AD181" s="248"/>
      <c r="AE181" s="248"/>
      <c r="AF181" s="248"/>
      <c r="AG181" s="248"/>
      <c r="AH181" s="248"/>
      <c r="AI181" s="248"/>
      <c r="AJ181" s="248"/>
      <c r="AK181" s="248"/>
      <c r="AL181" s="248"/>
      <c r="AM181" s="248"/>
      <c r="AN181" s="293">
        <f t="shared" si="18"/>
        <v>98</v>
      </c>
      <c r="AO181" s="248"/>
      <c r="AP181" s="290">
        <f ca="1">OFFSET('Calc.U.Uncertainty'!$A$1,U181-1,AN181-1)</f>
        <v>3.5000000000000005E-3</v>
      </c>
      <c r="AQ181" s="291"/>
      <c r="AR181" s="291"/>
      <c r="AS181" s="291"/>
      <c r="AT181" s="292"/>
      <c r="AU181" s="249"/>
    </row>
    <row r="182" spans="1:47" s="250" customFormat="1" ht="10.199999999999999" hidden="1" outlineLevel="1">
      <c r="A182" s="238"/>
      <c r="B182" s="238"/>
      <c r="D182" s="238"/>
      <c r="E182" s="238"/>
      <c r="F182" s="238"/>
      <c r="G182" s="238"/>
      <c r="H182" s="238"/>
      <c r="I182" s="238"/>
      <c r="J182" s="238"/>
      <c r="K182" s="238"/>
      <c r="L182" s="251"/>
      <c r="M182" s="294" t="str">
        <f t="shared" si="12"/>
        <v>C.A.007</v>
      </c>
      <c r="N182" s="248"/>
      <c r="O182" s="248"/>
      <c r="P182" s="248"/>
      <c r="Q182" s="248"/>
      <c r="R182" s="248"/>
      <c r="S182" s="248"/>
      <c r="T182" s="248"/>
      <c r="U182" s="293">
        <f t="shared" si="13"/>
        <v>271</v>
      </c>
      <c r="V182" s="248"/>
      <c r="W182" s="248"/>
      <c r="X182" s="295" t="s">
        <v>724</v>
      </c>
      <c r="Y182" s="248"/>
      <c r="Z182" s="248"/>
      <c r="AA182" s="248"/>
      <c r="AB182" s="248"/>
      <c r="AC182" s="248"/>
      <c r="AD182" s="248"/>
      <c r="AE182" s="248"/>
      <c r="AF182" s="248"/>
      <c r="AG182" s="248"/>
      <c r="AH182" s="248"/>
      <c r="AI182" s="248"/>
      <c r="AJ182" s="248"/>
      <c r="AK182" s="248"/>
      <c r="AL182" s="248"/>
      <c r="AM182" s="248"/>
      <c r="AN182" s="293">
        <f t="shared" si="18"/>
        <v>98</v>
      </c>
      <c r="AO182" s="248"/>
      <c r="AP182" s="290">
        <f ca="1">OFFSET('Calc.U.Uncertainty'!$A$1,U182-1,AN182-1)</f>
        <v>1.7500000000000003E-3</v>
      </c>
      <c r="AQ182" s="291"/>
      <c r="AR182" s="291"/>
      <c r="AS182" s="291"/>
      <c r="AT182" s="292"/>
      <c r="AU182" s="249"/>
    </row>
    <row r="183" spans="1:47" s="250" customFormat="1" ht="10.199999999999999" hidden="1" outlineLevel="1">
      <c r="A183" s="238"/>
      <c r="B183" s="238"/>
      <c r="D183" s="238"/>
      <c r="E183" s="238"/>
      <c r="F183" s="238"/>
      <c r="G183" s="238"/>
      <c r="H183" s="238"/>
      <c r="I183" s="238"/>
      <c r="J183" s="238"/>
      <c r="K183" s="238"/>
      <c r="L183" s="251"/>
      <c r="M183" s="294" t="str">
        <f t="shared" si="12"/>
        <v>C.A.008</v>
      </c>
      <c r="N183" s="248"/>
      <c r="O183" s="248"/>
      <c r="P183" s="248"/>
      <c r="Q183" s="248"/>
      <c r="R183" s="248"/>
      <c r="S183" s="248"/>
      <c r="T183" s="248"/>
      <c r="U183" s="293">
        <f t="shared" si="13"/>
        <v>272</v>
      </c>
      <c r="V183" s="248"/>
      <c r="W183" s="248"/>
      <c r="X183" s="295" t="s">
        <v>724</v>
      </c>
      <c r="Y183" s="248"/>
      <c r="Z183" s="248"/>
      <c r="AA183" s="248"/>
      <c r="AB183" s="248"/>
      <c r="AC183" s="248"/>
      <c r="AD183" s="248"/>
      <c r="AE183" s="248"/>
      <c r="AF183" s="248"/>
      <c r="AG183" s="248"/>
      <c r="AH183" s="248"/>
      <c r="AI183" s="248"/>
      <c r="AJ183" s="248"/>
      <c r="AK183" s="248"/>
      <c r="AL183" s="248"/>
      <c r="AM183" s="248"/>
      <c r="AN183" s="293">
        <f t="shared" si="18"/>
        <v>98</v>
      </c>
      <c r="AO183" s="248"/>
      <c r="AP183" s="290">
        <f ca="1">OFFSET('Calc.U.Uncertainty'!$A$1,U183-1,AN183-1)</f>
        <v>5.2500000000000003E-3</v>
      </c>
      <c r="AQ183" s="291"/>
      <c r="AR183" s="291"/>
      <c r="AS183" s="291"/>
      <c r="AT183" s="292"/>
      <c r="AU183" s="249"/>
    </row>
    <row r="184" spans="1:47" s="250" customFormat="1" ht="10.199999999999999" hidden="1" outlineLevel="1">
      <c r="A184" s="238"/>
      <c r="B184" s="238"/>
      <c r="D184" s="238"/>
      <c r="E184" s="238"/>
      <c r="F184" s="238"/>
      <c r="G184" s="238"/>
      <c r="H184" s="238"/>
      <c r="I184" s="238"/>
      <c r="J184" s="238"/>
      <c r="K184" s="238"/>
      <c r="L184" s="251"/>
      <c r="M184" s="294" t="str">
        <f t="shared" si="12"/>
        <v>C.A.009</v>
      </c>
      <c r="N184" s="248"/>
      <c r="O184" s="248"/>
      <c r="P184" s="248"/>
      <c r="Q184" s="248"/>
      <c r="R184" s="248"/>
      <c r="S184" s="248"/>
      <c r="T184" s="248"/>
      <c r="U184" s="293">
        <f t="shared" si="13"/>
        <v>273</v>
      </c>
      <c r="V184" s="248"/>
      <c r="W184" s="248"/>
      <c r="X184" s="295" t="s">
        <v>724</v>
      </c>
      <c r="Y184" s="248"/>
      <c r="Z184" s="248"/>
      <c r="AA184" s="248"/>
      <c r="AB184" s="248"/>
      <c r="AC184" s="248"/>
      <c r="AD184" s="248"/>
      <c r="AE184" s="248"/>
      <c r="AF184" s="248"/>
      <c r="AG184" s="248"/>
      <c r="AH184" s="248"/>
      <c r="AI184" s="248"/>
      <c r="AJ184" s="248"/>
      <c r="AK184" s="248"/>
      <c r="AL184" s="248"/>
      <c r="AM184" s="248"/>
      <c r="AN184" s="293">
        <f t="shared" si="18"/>
        <v>98</v>
      </c>
      <c r="AO184" s="248"/>
      <c r="AP184" s="290">
        <f ca="1">OFFSET('Calc.U.Uncertainty'!$A$1,U184-1,AN184-1)</f>
        <v>5.2500000000000003E-3</v>
      </c>
      <c r="AQ184" s="291"/>
      <c r="AR184" s="291"/>
      <c r="AS184" s="291"/>
      <c r="AT184" s="292"/>
      <c r="AU184" s="249"/>
    </row>
    <row r="185" spans="1:47" s="250" customFormat="1" ht="10.199999999999999" hidden="1" outlineLevel="1">
      <c r="A185" s="238"/>
      <c r="B185" s="238"/>
      <c r="D185" s="238"/>
      <c r="E185" s="238"/>
      <c r="F185" s="238"/>
      <c r="G185" s="238"/>
      <c r="H185" s="238"/>
      <c r="I185" s="238"/>
      <c r="J185" s="238"/>
      <c r="K185" s="238"/>
      <c r="L185" s="251"/>
      <c r="M185" s="294" t="str">
        <f t="shared" ref="M185:M199" si="19">M173</f>
        <v>C.A.010</v>
      </c>
      <c r="N185" s="248"/>
      <c r="O185" s="248"/>
      <c r="P185" s="248"/>
      <c r="Q185" s="248"/>
      <c r="R185" s="248"/>
      <c r="S185" s="248"/>
      <c r="T185" s="248"/>
      <c r="U185" s="293">
        <f t="shared" ref="U185:U199" si="20">U173</f>
        <v>274</v>
      </c>
      <c r="V185" s="248"/>
      <c r="W185" s="248"/>
      <c r="X185" s="295" t="s">
        <v>724</v>
      </c>
      <c r="Y185" s="248"/>
      <c r="Z185" s="248"/>
      <c r="AA185" s="248"/>
      <c r="AB185" s="248"/>
      <c r="AC185" s="248"/>
      <c r="AD185" s="248"/>
      <c r="AE185" s="248"/>
      <c r="AF185" s="248"/>
      <c r="AG185" s="248"/>
      <c r="AH185" s="248"/>
      <c r="AI185" s="248"/>
      <c r="AJ185" s="248"/>
      <c r="AK185" s="248"/>
      <c r="AL185" s="248"/>
      <c r="AM185" s="248"/>
      <c r="AN185" s="293">
        <f t="shared" si="18"/>
        <v>98</v>
      </c>
      <c r="AO185" s="248"/>
      <c r="AP185" s="290">
        <f ca="1">OFFSET('Calc.U.Uncertainty'!$A$1,U185-1,AN185-1)</f>
        <v>1.2E-2</v>
      </c>
      <c r="AQ185" s="291"/>
      <c r="AR185" s="291"/>
      <c r="AS185" s="291"/>
      <c r="AT185" s="292"/>
      <c r="AU185" s="249"/>
    </row>
    <row r="186" spans="1:47" s="250" customFormat="1" ht="10.199999999999999" hidden="1" outlineLevel="1">
      <c r="A186" s="238"/>
      <c r="B186" s="238"/>
      <c r="D186" s="238"/>
      <c r="E186" s="238"/>
      <c r="F186" s="238"/>
      <c r="G186" s="238"/>
      <c r="H186" s="238"/>
      <c r="I186" s="238"/>
      <c r="J186" s="238"/>
      <c r="K186" s="238"/>
      <c r="L186" s="251"/>
      <c r="M186" s="294" t="str">
        <f t="shared" si="19"/>
        <v>C.A.011</v>
      </c>
      <c r="N186" s="248"/>
      <c r="O186" s="248"/>
      <c r="P186" s="248"/>
      <c r="Q186" s="248"/>
      <c r="R186" s="248"/>
      <c r="S186" s="248"/>
      <c r="T186" s="248"/>
      <c r="U186" s="293">
        <f t="shared" si="20"/>
        <v>275</v>
      </c>
      <c r="V186" s="248"/>
      <c r="W186" s="248"/>
      <c r="X186" s="295" t="s">
        <v>724</v>
      </c>
      <c r="Y186" s="248"/>
      <c r="Z186" s="248"/>
      <c r="AA186" s="248"/>
      <c r="AB186" s="248"/>
      <c r="AC186" s="248"/>
      <c r="AD186" s="248"/>
      <c r="AE186" s="248"/>
      <c r="AF186" s="248"/>
      <c r="AG186" s="248"/>
      <c r="AH186" s="248"/>
      <c r="AI186" s="248"/>
      <c r="AJ186" s="248"/>
      <c r="AK186" s="248"/>
      <c r="AL186" s="248"/>
      <c r="AM186" s="248"/>
      <c r="AN186" s="293">
        <f t="shared" si="18"/>
        <v>98</v>
      </c>
      <c r="AO186" s="248"/>
      <c r="AP186" s="290">
        <f ca="1">OFFSET('Calc.U.Uncertainty'!$A$1,U186-1,AN186-1)</f>
        <v>8.0000000000000002E-3</v>
      </c>
      <c r="AQ186" s="291"/>
      <c r="AR186" s="291"/>
      <c r="AS186" s="291"/>
      <c r="AT186" s="292"/>
      <c r="AU186" s="249"/>
    </row>
    <row r="187" spans="1:47" s="250" customFormat="1" ht="10.199999999999999" hidden="1" outlineLevel="1">
      <c r="A187" s="238"/>
      <c r="B187" s="238"/>
      <c r="D187" s="238"/>
      <c r="E187" s="238"/>
      <c r="F187" s="238"/>
      <c r="G187" s="238"/>
      <c r="H187" s="238"/>
      <c r="I187" s="238"/>
      <c r="J187" s="238"/>
      <c r="K187" s="238"/>
      <c r="L187" s="251"/>
      <c r="M187" s="294" t="str">
        <f t="shared" si="19"/>
        <v>C.A.012</v>
      </c>
      <c r="N187" s="248"/>
      <c r="O187" s="248"/>
      <c r="P187" s="248"/>
      <c r="Q187" s="248"/>
      <c r="R187" s="248"/>
      <c r="S187" s="248"/>
      <c r="T187" s="248"/>
      <c r="U187" s="293">
        <f t="shared" si="20"/>
        <v>276</v>
      </c>
      <c r="V187" s="248"/>
      <c r="W187" s="248"/>
      <c r="X187" s="295" t="s">
        <v>724</v>
      </c>
      <c r="Y187" s="248"/>
      <c r="Z187" s="248"/>
      <c r="AA187" s="248"/>
      <c r="AB187" s="248"/>
      <c r="AC187" s="248"/>
      <c r="AD187" s="248"/>
      <c r="AE187" s="248"/>
      <c r="AF187" s="248"/>
      <c r="AG187" s="248"/>
      <c r="AH187" s="248"/>
      <c r="AI187" s="248"/>
      <c r="AJ187" s="248"/>
      <c r="AK187" s="248"/>
      <c r="AL187" s="248"/>
      <c r="AM187" s="248"/>
      <c r="AN187" s="293">
        <f t="shared" si="18"/>
        <v>98</v>
      </c>
      <c r="AO187" s="248"/>
      <c r="AP187" s="290">
        <f ca="1">OFFSET('Calc.U.Uncertainty'!$A$1,U187-1,AN187-1)</f>
        <v>7.000000000000001E-3</v>
      </c>
      <c r="AQ187" s="291"/>
      <c r="AR187" s="291"/>
      <c r="AS187" s="291"/>
      <c r="AT187" s="292"/>
      <c r="AU187" s="249"/>
    </row>
    <row r="188" spans="1:47" s="250" customFormat="1" ht="10.199999999999999" hidden="1" outlineLevel="1">
      <c r="A188" s="238"/>
      <c r="B188" s="238"/>
      <c r="D188" s="238"/>
      <c r="E188" s="238"/>
      <c r="F188" s="238"/>
      <c r="G188" s="238"/>
      <c r="H188" s="238"/>
      <c r="I188" s="238"/>
      <c r="J188" s="238"/>
      <c r="K188" s="238"/>
      <c r="L188" s="251"/>
      <c r="M188" s="294" t="str">
        <f t="shared" si="19"/>
        <v>C.A.001</v>
      </c>
      <c r="N188" s="248"/>
      <c r="O188" s="248"/>
      <c r="P188" s="248"/>
      <c r="Q188" s="248"/>
      <c r="R188" s="248"/>
      <c r="S188" s="248"/>
      <c r="T188" s="248"/>
      <c r="U188" s="293">
        <f t="shared" si="20"/>
        <v>265</v>
      </c>
      <c r="V188" s="248"/>
      <c r="W188" s="248"/>
      <c r="X188" s="288" t="s">
        <v>726</v>
      </c>
      <c r="Y188" s="248"/>
      <c r="Z188" s="248"/>
      <c r="AA188" s="248"/>
      <c r="AB188" s="248"/>
      <c r="AC188" s="248"/>
      <c r="AD188" s="248"/>
      <c r="AE188" s="248"/>
      <c r="AF188" s="248"/>
      <c r="AG188" s="248"/>
      <c r="AH188" s="248"/>
      <c r="AI188" s="248"/>
      <c r="AJ188" s="248"/>
      <c r="AK188" s="248"/>
      <c r="AL188" s="248"/>
      <c r="AM188" s="248"/>
      <c r="AN188" s="289">
        <f>MATCH(X188,'Calc.U.Uncertainty'!$1:$1,0)</f>
        <v>99</v>
      </c>
      <c r="AO188" s="248"/>
      <c r="AP188" s="290">
        <f ca="1">OFFSET('Calc.U.Uncertainty'!$A$1,U188-1,AN188-1)</f>
        <v>0.33</v>
      </c>
      <c r="AQ188" s="291"/>
      <c r="AR188" s="291"/>
      <c r="AS188" s="291"/>
      <c r="AT188" s="292"/>
      <c r="AU188" s="249"/>
    </row>
    <row r="189" spans="1:47" s="250" customFormat="1" ht="10.199999999999999" hidden="1" outlineLevel="1">
      <c r="A189" s="238"/>
      <c r="B189" s="238"/>
      <c r="D189" s="238"/>
      <c r="E189" s="238"/>
      <c r="F189" s="238"/>
      <c r="G189" s="238"/>
      <c r="H189" s="238"/>
      <c r="I189" s="238"/>
      <c r="J189" s="238"/>
      <c r="K189" s="238"/>
      <c r="L189" s="251"/>
      <c r="M189" s="294" t="str">
        <f t="shared" si="19"/>
        <v>C.A.002</v>
      </c>
      <c r="N189" s="248"/>
      <c r="O189" s="248"/>
      <c r="P189" s="248"/>
      <c r="Q189" s="248"/>
      <c r="R189" s="248"/>
      <c r="S189" s="248"/>
      <c r="T189" s="248"/>
      <c r="U189" s="293">
        <f t="shared" si="20"/>
        <v>266</v>
      </c>
      <c r="V189" s="248"/>
      <c r="W189" s="248"/>
      <c r="X189" s="295" t="s">
        <v>726</v>
      </c>
      <c r="Y189" s="248"/>
      <c r="Z189" s="248"/>
      <c r="AA189" s="248"/>
      <c r="AB189" s="248"/>
      <c r="AC189" s="248"/>
      <c r="AD189" s="248"/>
      <c r="AE189" s="248"/>
      <c r="AF189" s="248"/>
      <c r="AG189" s="248"/>
      <c r="AH189" s="248"/>
      <c r="AI189" s="248"/>
      <c r="AJ189" s="248"/>
      <c r="AK189" s="248"/>
      <c r="AL189" s="248"/>
      <c r="AM189" s="248"/>
      <c r="AN189" s="293">
        <f t="shared" ref="AN189:AN199" si="21">AN188</f>
        <v>99</v>
      </c>
      <c r="AO189" s="248"/>
      <c r="AP189" s="290">
        <f ca="1">OFFSET('Calc.U.Uncertainty'!$A$1,U189-1,AN189-1)</f>
        <v>0.18</v>
      </c>
      <c r="AQ189" s="291"/>
      <c r="AR189" s="291"/>
      <c r="AS189" s="291"/>
      <c r="AT189" s="292"/>
      <c r="AU189" s="249"/>
    </row>
    <row r="190" spans="1:47" s="250" customFormat="1" ht="10.199999999999999" hidden="1" outlineLevel="1">
      <c r="A190" s="238"/>
      <c r="B190" s="238"/>
      <c r="D190" s="238"/>
      <c r="E190" s="238"/>
      <c r="F190" s="238"/>
      <c r="G190" s="238"/>
      <c r="H190" s="238"/>
      <c r="I190" s="238"/>
      <c r="J190" s="238"/>
      <c r="K190" s="238"/>
      <c r="L190" s="251"/>
      <c r="M190" s="294" t="str">
        <f t="shared" si="19"/>
        <v>C.A.003</v>
      </c>
      <c r="N190" s="248"/>
      <c r="O190" s="248"/>
      <c r="P190" s="248"/>
      <c r="Q190" s="248"/>
      <c r="R190" s="248"/>
      <c r="S190" s="248"/>
      <c r="T190" s="248"/>
      <c r="U190" s="293">
        <f t="shared" si="20"/>
        <v>267</v>
      </c>
      <c r="V190" s="248"/>
      <c r="W190" s="248"/>
      <c r="X190" s="295" t="s">
        <v>726</v>
      </c>
      <c r="Y190" s="248"/>
      <c r="Z190" s="248"/>
      <c r="AA190" s="248"/>
      <c r="AB190" s="248"/>
      <c r="AC190" s="248"/>
      <c r="AD190" s="248"/>
      <c r="AE190" s="248"/>
      <c r="AF190" s="248"/>
      <c r="AG190" s="248"/>
      <c r="AH190" s="248"/>
      <c r="AI190" s="248"/>
      <c r="AJ190" s="248"/>
      <c r="AK190" s="248"/>
      <c r="AL190" s="248"/>
      <c r="AM190" s="248"/>
      <c r="AN190" s="293">
        <f t="shared" si="21"/>
        <v>99</v>
      </c>
      <c r="AO190" s="248"/>
      <c r="AP190" s="290">
        <f ca="1">OFFSET('Calc.U.Uncertainty'!$A$1,U190-1,AN190-1)</f>
        <v>0.05</v>
      </c>
      <c r="AQ190" s="291"/>
      <c r="AR190" s="291"/>
      <c r="AS190" s="291"/>
      <c r="AT190" s="292"/>
      <c r="AU190" s="249"/>
    </row>
    <row r="191" spans="1:47" s="250" customFormat="1" ht="10.199999999999999" hidden="1" outlineLevel="1">
      <c r="A191" s="238"/>
      <c r="B191" s="238"/>
      <c r="D191" s="238"/>
      <c r="E191" s="238"/>
      <c r="F191" s="238"/>
      <c r="G191" s="238"/>
      <c r="H191" s="238"/>
      <c r="I191" s="238"/>
      <c r="J191" s="238"/>
      <c r="K191" s="238"/>
      <c r="L191" s="251"/>
      <c r="M191" s="294" t="str">
        <f t="shared" si="19"/>
        <v>C.A.004</v>
      </c>
      <c r="N191" s="248"/>
      <c r="O191" s="248"/>
      <c r="P191" s="248"/>
      <c r="Q191" s="248"/>
      <c r="R191" s="248"/>
      <c r="S191" s="248"/>
      <c r="T191" s="248"/>
      <c r="U191" s="293">
        <f t="shared" si="20"/>
        <v>268</v>
      </c>
      <c r="V191" s="248"/>
      <c r="W191" s="248"/>
      <c r="X191" s="295" t="s">
        <v>726</v>
      </c>
      <c r="Y191" s="248"/>
      <c r="Z191" s="248"/>
      <c r="AA191" s="248"/>
      <c r="AB191" s="248"/>
      <c r="AC191" s="248"/>
      <c r="AD191" s="248"/>
      <c r="AE191" s="248"/>
      <c r="AF191" s="248"/>
      <c r="AG191" s="248"/>
      <c r="AH191" s="248"/>
      <c r="AI191" s="248"/>
      <c r="AJ191" s="248"/>
      <c r="AK191" s="248"/>
      <c r="AL191" s="248"/>
      <c r="AM191" s="248"/>
      <c r="AN191" s="293">
        <f t="shared" si="21"/>
        <v>99</v>
      </c>
      <c r="AO191" s="248"/>
      <c r="AP191" s="290">
        <f ca="1">OFFSET('Calc.U.Uncertainty'!$A$1,U191-1,AN191-1)</f>
        <v>0.11637802733394169</v>
      </c>
      <c r="AQ191" s="291"/>
      <c r="AR191" s="291"/>
      <c r="AS191" s="291"/>
      <c r="AT191" s="292"/>
      <c r="AU191" s="249"/>
    </row>
    <row r="192" spans="1:47" s="250" customFormat="1" ht="10.199999999999999" hidden="1" outlineLevel="1">
      <c r="A192" s="238"/>
      <c r="B192" s="238"/>
      <c r="D192" s="238"/>
      <c r="E192" s="238"/>
      <c r="F192" s="238"/>
      <c r="G192" s="238"/>
      <c r="H192" s="238"/>
      <c r="I192" s="238"/>
      <c r="J192" s="238"/>
      <c r="K192" s="238"/>
      <c r="L192" s="251"/>
      <c r="M192" s="294" t="str">
        <f t="shared" si="19"/>
        <v>C.A.005</v>
      </c>
      <c r="N192" s="248"/>
      <c r="O192" s="248"/>
      <c r="P192" s="248"/>
      <c r="Q192" s="248"/>
      <c r="R192" s="248"/>
      <c r="S192" s="248"/>
      <c r="T192" s="248"/>
      <c r="U192" s="293">
        <f t="shared" si="20"/>
        <v>269</v>
      </c>
      <c r="V192" s="248"/>
      <c r="W192" s="248"/>
      <c r="X192" s="295" t="s">
        <v>726</v>
      </c>
      <c r="Y192" s="248"/>
      <c r="Z192" s="248"/>
      <c r="AA192" s="248"/>
      <c r="AB192" s="248"/>
      <c r="AC192" s="248"/>
      <c r="AD192" s="248"/>
      <c r="AE192" s="248"/>
      <c r="AF192" s="248"/>
      <c r="AG192" s="248"/>
      <c r="AH192" s="248"/>
      <c r="AI192" s="248"/>
      <c r="AJ192" s="248"/>
      <c r="AK192" s="248"/>
      <c r="AL192" s="248"/>
      <c r="AM192" s="248"/>
      <c r="AN192" s="293">
        <f t="shared" si="21"/>
        <v>99</v>
      </c>
      <c r="AO192" s="248"/>
      <c r="AP192" s="290">
        <f ca="1">OFFSET('Calc.U.Uncertainty'!$A$1,U192-1,AN192-1)</f>
        <v>3.107379235687897E-2</v>
      </c>
      <c r="AQ192" s="291"/>
      <c r="AR192" s="291"/>
      <c r="AS192" s="291"/>
      <c r="AT192" s="292"/>
      <c r="AU192" s="249"/>
    </row>
    <row r="193" spans="1:59" s="250" customFormat="1" ht="10.199999999999999" hidden="1" outlineLevel="1">
      <c r="A193" s="238"/>
      <c r="B193" s="238"/>
      <c r="D193" s="238"/>
      <c r="E193" s="238"/>
      <c r="F193" s="238"/>
      <c r="G193" s="238"/>
      <c r="H193" s="238"/>
      <c r="I193" s="238"/>
      <c r="J193" s="238"/>
      <c r="K193" s="238"/>
      <c r="L193" s="251"/>
      <c r="M193" s="294" t="str">
        <f t="shared" si="19"/>
        <v>C.A.006</v>
      </c>
      <c r="N193" s="248"/>
      <c r="O193" s="248"/>
      <c r="P193" s="248"/>
      <c r="Q193" s="248"/>
      <c r="R193" s="248"/>
      <c r="S193" s="248"/>
      <c r="T193" s="248"/>
      <c r="U193" s="293">
        <f t="shared" si="20"/>
        <v>270</v>
      </c>
      <c r="V193" s="248"/>
      <c r="W193" s="248"/>
      <c r="X193" s="295" t="s">
        <v>726</v>
      </c>
      <c r="Y193" s="248"/>
      <c r="Z193" s="248"/>
      <c r="AA193" s="248"/>
      <c r="AB193" s="248"/>
      <c r="AC193" s="248"/>
      <c r="AD193" s="248"/>
      <c r="AE193" s="248"/>
      <c r="AF193" s="248"/>
      <c r="AG193" s="248"/>
      <c r="AH193" s="248"/>
      <c r="AI193" s="248"/>
      <c r="AJ193" s="248"/>
      <c r="AK193" s="248"/>
      <c r="AL193" s="248"/>
      <c r="AM193" s="248"/>
      <c r="AN193" s="293">
        <f t="shared" si="21"/>
        <v>99</v>
      </c>
      <c r="AO193" s="248"/>
      <c r="AP193" s="290">
        <f ca="1">OFFSET('Calc.U.Uncertainty'!$A$1,U193-1,AN193-1)</f>
        <v>2.0114000900774458E-2</v>
      </c>
      <c r="AQ193" s="291"/>
      <c r="AR193" s="291"/>
      <c r="AS193" s="291"/>
      <c r="AT193" s="292"/>
      <c r="AU193" s="249"/>
    </row>
    <row r="194" spans="1:59" s="250" customFormat="1" ht="10.199999999999999" hidden="1" outlineLevel="1">
      <c r="A194" s="238"/>
      <c r="B194" s="238"/>
      <c r="D194" s="238"/>
      <c r="E194" s="238"/>
      <c r="F194" s="238"/>
      <c r="G194" s="238"/>
      <c r="H194" s="238"/>
      <c r="I194" s="238"/>
      <c r="J194" s="238"/>
      <c r="K194" s="238"/>
      <c r="L194" s="251"/>
      <c r="M194" s="294" t="str">
        <f t="shared" si="19"/>
        <v>C.A.007</v>
      </c>
      <c r="N194" s="248"/>
      <c r="O194" s="248"/>
      <c r="P194" s="248"/>
      <c r="Q194" s="248"/>
      <c r="R194" s="248"/>
      <c r="S194" s="248"/>
      <c r="T194" s="248"/>
      <c r="U194" s="293">
        <f t="shared" si="20"/>
        <v>271</v>
      </c>
      <c r="V194" s="248"/>
      <c r="W194" s="248"/>
      <c r="X194" s="295" t="s">
        <v>726</v>
      </c>
      <c r="Y194" s="248"/>
      <c r="Z194" s="248"/>
      <c r="AA194" s="248"/>
      <c r="AB194" s="248"/>
      <c r="AC194" s="248"/>
      <c r="AD194" s="248"/>
      <c r="AE194" s="248"/>
      <c r="AF194" s="248"/>
      <c r="AG194" s="248"/>
      <c r="AH194" s="248"/>
      <c r="AI194" s="248"/>
      <c r="AJ194" s="248"/>
      <c r="AK194" s="248"/>
      <c r="AL194" s="248"/>
      <c r="AM194" s="248"/>
      <c r="AN194" s="293">
        <f t="shared" si="21"/>
        <v>99</v>
      </c>
      <c r="AO194" s="248"/>
      <c r="AP194" s="290">
        <f ca="1">OFFSET('Calc.U.Uncertainty'!$A$1,U194-1,AN194-1)</f>
        <v>1.276627784562093E-2</v>
      </c>
      <c r="AQ194" s="291"/>
      <c r="AR194" s="291"/>
      <c r="AS194" s="291"/>
      <c r="AT194" s="292"/>
      <c r="AU194" s="249"/>
    </row>
    <row r="195" spans="1:59" s="250" customFormat="1" ht="10.199999999999999" hidden="1" outlineLevel="1">
      <c r="A195" s="238"/>
      <c r="B195" s="238"/>
      <c r="D195" s="238"/>
      <c r="E195" s="238"/>
      <c r="F195" s="238"/>
      <c r="G195" s="238"/>
      <c r="H195" s="238"/>
      <c r="I195" s="238"/>
      <c r="J195" s="238"/>
      <c r="K195" s="238"/>
      <c r="L195" s="251"/>
      <c r="M195" s="294" t="str">
        <f t="shared" si="19"/>
        <v>C.A.008</v>
      </c>
      <c r="N195" s="248"/>
      <c r="O195" s="248"/>
      <c r="P195" s="248"/>
      <c r="Q195" s="248"/>
      <c r="R195" s="248"/>
      <c r="S195" s="248"/>
      <c r="T195" s="248"/>
      <c r="U195" s="293">
        <f t="shared" si="20"/>
        <v>272</v>
      </c>
      <c r="V195" s="248"/>
      <c r="W195" s="248"/>
      <c r="X195" s="295" t="s">
        <v>726</v>
      </c>
      <c r="Y195" s="248"/>
      <c r="Z195" s="248"/>
      <c r="AA195" s="248"/>
      <c r="AB195" s="248"/>
      <c r="AC195" s="248"/>
      <c r="AD195" s="248"/>
      <c r="AE195" s="248"/>
      <c r="AF195" s="248"/>
      <c r="AG195" s="248"/>
      <c r="AH195" s="248"/>
      <c r="AI195" s="248"/>
      <c r="AJ195" s="248"/>
      <c r="AK195" s="248"/>
      <c r="AL195" s="248"/>
      <c r="AM195" s="248"/>
      <c r="AN195" s="293">
        <f t="shared" si="21"/>
        <v>99</v>
      </c>
      <c r="AO195" s="248"/>
      <c r="AP195" s="290">
        <f ca="1">OFFSET('Calc.U.Uncertainty'!$A$1,U195-1,AN195-1)</f>
        <v>0.25952278168225701</v>
      </c>
      <c r="AQ195" s="291"/>
      <c r="AR195" s="291"/>
      <c r="AS195" s="291"/>
      <c r="AT195" s="292"/>
      <c r="AU195" s="249"/>
    </row>
    <row r="196" spans="1:59" s="250" customFormat="1" ht="10.199999999999999" hidden="1" outlineLevel="1">
      <c r="A196" s="238"/>
      <c r="B196" s="238"/>
      <c r="D196" s="238"/>
      <c r="E196" s="238"/>
      <c r="F196" s="238"/>
      <c r="G196" s="238"/>
      <c r="H196" s="238"/>
      <c r="I196" s="238"/>
      <c r="J196" s="238"/>
      <c r="K196" s="238"/>
      <c r="L196" s="251"/>
      <c r="M196" s="294" t="str">
        <f t="shared" si="19"/>
        <v>C.A.009</v>
      </c>
      <c r="N196" s="248"/>
      <c r="O196" s="248"/>
      <c r="P196" s="248"/>
      <c r="Q196" s="248"/>
      <c r="R196" s="248"/>
      <c r="S196" s="248"/>
      <c r="T196" s="248"/>
      <c r="U196" s="293">
        <f t="shared" si="20"/>
        <v>273</v>
      </c>
      <c r="V196" s="248"/>
      <c r="W196" s="248"/>
      <c r="X196" s="295" t="s">
        <v>726</v>
      </c>
      <c r="Y196" s="248"/>
      <c r="Z196" s="248"/>
      <c r="AA196" s="248"/>
      <c r="AB196" s="248"/>
      <c r="AC196" s="248"/>
      <c r="AD196" s="248"/>
      <c r="AE196" s="248"/>
      <c r="AF196" s="248"/>
      <c r="AG196" s="248"/>
      <c r="AH196" s="248"/>
      <c r="AI196" s="248"/>
      <c r="AJ196" s="248"/>
      <c r="AK196" s="248"/>
      <c r="AL196" s="248"/>
      <c r="AM196" s="248"/>
      <c r="AN196" s="293">
        <f t="shared" si="21"/>
        <v>99</v>
      </c>
      <c r="AO196" s="248"/>
      <c r="AP196" s="290">
        <f ca="1">OFFSET('Calc.U.Uncertainty'!$A$1,U196-1,AN196-1)</f>
        <v>1.5945310837621209E-2</v>
      </c>
      <c r="AQ196" s="291"/>
      <c r="AR196" s="291"/>
      <c r="AS196" s="291"/>
      <c r="AT196" s="292"/>
      <c r="AU196" s="249"/>
    </row>
    <row r="197" spans="1:59" s="250" customFormat="1" ht="10.199999999999999" hidden="1" outlineLevel="1">
      <c r="A197" s="238"/>
      <c r="B197" s="238"/>
      <c r="D197" s="238"/>
      <c r="E197" s="238"/>
      <c r="F197" s="238"/>
      <c r="G197" s="238"/>
      <c r="H197" s="238"/>
      <c r="I197" s="238"/>
      <c r="J197" s="238"/>
      <c r="K197" s="238"/>
      <c r="L197" s="251"/>
      <c r="M197" s="294" t="str">
        <f t="shared" si="19"/>
        <v>C.A.010</v>
      </c>
      <c r="N197" s="248"/>
      <c r="O197" s="248"/>
      <c r="P197" s="248"/>
      <c r="Q197" s="248"/>
      <c r="R197" s="248"/>
      <c r="S197" s="248"/>
      <c r="T197" s="248"/>
      <c r="U197" s="293">
        <f t="shared" si="20"/>
        <v>274</v>
      </c>
      <c r="V197" s="248"/>
      <c r="W197" s="248"/>
      <c r="X197" s="295" t="s">
        <v>726</v>
      </c>
      <c r="Y197" s="248"/>
      <c r="Z197" s="248"/>
      <c r="AA197" s="248"/>
      <c r="AB197" s="248"/>
      <c r="AC197" s="248"/>
      <c r="AD197" s="248"/>
      <c r="AE197" s="248"/>
      <c r="AF197" s="248"/>
      <c r="AG197" s="248"/>
      <c r="AH197" s="248"/>
      <c r="AI197" s="248"/>
      <c r="AJ197" s="248"/>
      <c r="AK197" s="248"/>
      <c r="AL197" s="248"/>
      <c r="AM197" s="248"/>
      <c r="AN197" s="293">
        <f t="shared" si="21"/>
        <v>99</v>
      </c>
      <c r="AO197" s="248"/>
      <c r="AP197" s="290">
        <f ca="1">OFFSET('Calc.U.Uncertainty'!$A$1,U197-1,AN197-1)</f>
        <v>0.35576232735259378</v>
      </c>
      <c r="AQ197" s="291"/>
      <c r="AR197" s="291"/>
      <c r="AS197" s="291"/>
      <c r="AT197" s="292"/>
      <c r="AU197" s="249"/>
    </row>
    <row r="198" spans="1:59" s="250" customFormat="1" ht="10.199999999999999" hidden="1" outlineLevel="1">
      <c r="A198" s="238"/>
      <c r="B198" s="238"/>
      <c r="D198" s="238"/>
      <c r="E198" s="238"/>
      <c r="F198" s="238"/>
      <c r="G198" s="238"/>
      <c r="H198" s="238"/>
      <c r="I198" s="238"/>
      <c r="J198" s="238"/>
      <c r="K198" s="238"/>
      <c r="L198" s="251"/>
      <c r="M198" s="294" t="str">
        <f t="shared" si="19"/>
        <v>C.A.011</v>
      </c>
      <c r="N198" s="248"/>
      <c r="O198" s="248"/>
      <c r="P198" s="248"/>
      <c r="Q198" s="248"/>
      <c r="R198" s="248"/>
      <c r="S198" s="248"/>
      <c r="T198" s="248"/>
      <c r="U198" s="293">
        <f t="shared" si="20"/>
        <v>275</v>
      </c>
      <c r="V198" s="248"/>
      <c r="W198" s="248"/>
      <c r="X198" s="295" t="s">
        <v>726</v>
      </c>
      <c r="Y198" s="248"/>
      <c r="Z198" s="248"/>
      <c r="AA198" s="248"/>
      <c r="AB198" s="248"/>
      <c r="AC198" s="248"/>
      <c r="AD198" s="248"/>
      <c r="AE198" s="248"/>
      <c r="AF198" s="248"/>
      <c r="AG198" s="248"/>
      <c r="AH198" s="248"/>
      <c r="AI198" s="248"/>
      <c r="AJ198" s="248"/>
      <c r="AK198" s="248"/>
      <c r="AL198" s="248"/>
      <c r="AM198" s="248"/>
      <c r="AN198" s="293">
        <f t="shared" si="21"/>
        <v>99</v>
      </c>
      <c r="AO198" s="248"/>
      <c r="AP198" s="290">
        <f ca="1">OFFSET('Calc.U.Uncertainty'!$A$1,U198-1,AN198-1)</f>
        <v>0.1330021283494664</v>
      </c>
      <c r="AQ198" s="291"/>
      <c r="AR198" s="291"/>
      <c r="AS198" s="291"/>
      <c r="AT198" s="292"/>
      <c r="AU198" s="249"/>
    </row>
    <row r="199" spans="1:59" s="250" customFormat="1" ht="10.199999999999999" hidden="1" outlineLevel="1">
      <c r="A199" s="238"/>
      <c r="B199" s="238"/>
      <c r="D199" s="238"/>
      <c r="E199" s="238"/>
      <c r="F199" s="238"/>
      <c r="G199" s="238"/>
      <c r="H199" s="238"/>
      <c r="I199" s="238"/>
      <c r="J199" s="238"/>
      <c r="K199" s="238"/>
      <c r="L199" s="251"/>
      <c r="M199" s="294" t="str">
        <f t="shared" si="19"/>
        <v>C.A.012</v>
      </c>
      <c r="N199" s="248"/>
      <c r="O199" s="248"/>
      <c r="P199" s="248"/>
      <c r="Q199" s="248"/>
      <c r="R199" s="248"/>
      <c r="S199" s="248"/>
      <c r="T199" s="248"/>
      <c r="U199" s="293">
        <f t="shared" si="20"/>
        <v>276</v>
      </c>
      <c r="V199" s="248"/>
      <c r="W199" s="248"/>
      <c r="X199" s="295" t="s">
        <v>726</v>
      </c>
      <c r="Y199" s="248"/>
      <c r="Z199" s="248"/>
      <c r="AA199" s="248"/>
      <c r="AB199" s="248"/>
      <c r="AC199" s="248"/>
      <c r="AD199" s="248"/>
      <c r="AE199" s="248"/>
      <c r="AF199" s="248"/>
      <c r="AG199" s="248"/>
      <c r="AH199" s="248"/>
      <c r="AI199" s="248"/>
      <c r="AJ199" s="248"/>
      <c r="AK199" s="248"/>
      <c r="AL199" s="248"/>
      <c r="AM199" s="248"/>
      <c r="AN199" s="293">
        <f t="shared" si="21"/>
        <v>99</v>
      </c>
      <c r="AO199" s="248"/>
      <c r="AP199" s="290">
        <f ca="1">OFFSET('Calc.U.Uncertainty'!$A$1,U199-1,AN199-1)</f>
        <v>0.11443209666551435</v>
      </c>
      <c r="AQ199" s="291"/>
      <c r="AR199" s="291"/>
      <c r="AS199" s="291"/>
      <c r="AT199" s="292"/>
      <c r="AU199" s="249"/>
    </row>
    <row r="200" spans="1:59" s="242" customFormat="1" ht="10.199999999999999" hidden="1" outlineLevel="1">
      <c r="A200" s="237"/>
      <c r="B200" s="237"/>
      <c r="C200" s="237"/>
      <c r="D200" s="237"/>
      <c r="E200" s="237"/>
      <c r="F200" s="237"/>
      <c r="G200" s="237"/>
      <c r="H200" s="237"/>
      <c r="I200" s="237"/>
      <c r="J200" s="237"/>
      <c r="AA200" s="237"/>
      <c r="AB200" s="237"/>
      <c r="AC200" s="237"/>
      <c r="AD200" s="237"/>
      <c r="AE200" s="237"/>
      <c r="AF200" s="237"/>
      <c r="AG200" s="237"/>
      <c r="AH200" s="237"/>
      <c r="AI200" s="237"/>
      <c r="AJ200" s="237"/>
      <c r="AK200" s="237"/>
      <c r="AL200" s="237"/>
      <c r="AM200" s="237"/>
      <c r="AN200" s="237"/>
      <c r="AO200" s="237"/>
      <c r="AP200" s="237"/>
      <c r="AQ200" s="237"/>
      <c r="AR200" s="237"/>
      <c r="AS200" s="237"/>
      <c r="BC200" s="250"/>
      <c r="BD200" s="250"/>
      <c r="BE200" s="250"/>
      <c r="BF200" s="250"/>
      <c r="BG200" s="250"/>
    </row>
    <row r="201" spans="1:59" s="250" customFormat="1" ht="10.199999999999999" hidden="1" outlineLevel="1">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c r="AL201" s="238"/>
      <c r="AM201" s="238"/>
    </row>
    <row r="202" spans="1:59" s="250" customFormat="1" ht="10.199999999999999" hidden="1" outlineLevel="1">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52"/>
      <c r="AH202" s="252"/>
      <c r="AI202" s="252"/>
      <c r="AJ202" s="238"/>
      <c r="AK202" s="238"/>
      <c r="AL202" s="238"/>
      <c r="AM202" s="238"/>
    </row>
    <row r="203" spans="1:59" s="250" customFormat="1" ht="10.199999999999999" hidden="1" outlineLevel="1">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238"/>
      <c r="AL203" s="238"/>
      <c r="AM203" s="238"/>
    </row>
    <row r="204" spans="1:59" s="250" customFormat="1" ht="10.199999999999999" hidden="1" outlineLevel="1">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row>
    <row r="205" spans="1:59" s="250" customFormat="1" ht="10.199999999999999" hidden="1" outlineLevel="1">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c r="AL205" s="238"/>
      <c r="AM205" s="238"/>
    </row>
    <row r="206" spans="1:59" s="239" customFormat="1" ht="10.199999999999999" hidden="1" outlineLevel="1"/>
    <row r="207" spans="1:59" s="239" customFormat="1" ht="10.199999999999999" hidden="1" outlineLevel="1"/>
    <row r="208" spans="1:59" s="239" customFormat="1" ht="10.199999999999999" hidden="1" outlineLevel="1"/>
    <row r="209" spans="1:54" s="239" customFormat="1" ht="10.199999999999999" hidden="1" outlineLevel="1"/>
    <row r="210" spans="1:54" s="239" customFormat="1" ht="10.199999999999999" hidden="1" outlineLevel="1"/>
    <row r="211" spans="1:54" s="239" customFormat="1" ht="10.199999999999999" hidden="1" outlineLevel="1"/>
    <row r="212" spans="1:54" s="239" customFormat="1" ht="10.199999999999999" hidden="1" outlineLevel="1"/>
    <row r="213" spans="1:54" s="256" customFormat="1" ht="15" customHeight="1" collapsed="1">
      <c r="A213" s="240"/>
      <c r="B213" s="240"/>
      <c r="C213" s="240"/>
      <c r="D213" s="240"/>
      <c r="E213" s="240"/>
      <c r="F213" s="240"/>
      <c r="G213" s="240"/>
      <c r="H213" s="240"/>
      <c r="I213" s="240"/>
      <c r="J213" s="240"/>
      <c r="K213" s="253"/>
      <c r="L213" s="254"/>
      <c r="M213" s="254"/>
      <c r="N213" s="254"/>
      <c r="O213" s="254"/>
      <c r="P213" s="254"/>
      <c r="Q213" s="254"/>
      <c r="R213" s="254"/>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55"/>
      <c r="AO213" s="255"/>
      <c r="AP213" s="255"/>
    </row>
    <row r="214" spans="1:54" s="256" customFormat="1" ht="22.5" customHeight="1">
      <c r="A214" s="240"/>
      <c r="B214" s="257"/>
      <c r="C214" s="257"/>
      <c r="D214" s="258"/>
      <c r="E214" s="258"/>
      <c r="F214" s="410" t="s">
        <v>2428</v>
      </c>
      <c r="G214" s="412"/>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2" t="s">
        <v>2426</v>
      </c>
      <c r="AG214" s="259"/>
      <c r="AH214" s="240"/>
      <c r="AI214" s="240"/>
      <c r="AJ214" s="240"/>
      <c r="AK214" s="240"/>
      <c r="AL214" s="240"/>
      <c r="AM214" s="240"/>
      <c r="AN214" s="255"/>
      <c r="AO214" s="240"/>
      <c r="AP214" s="240"/>
    </row>
    <row r="215" spans="1:54" s="256" customFormat="1" ht="15" customHeight="1">
      <c r="A215" s="240"/>
      <c r="B215" s="336"/>
      <c r="C215" s="337"/>
      <c r="D215" s="336"/>
      <c r="E215" s="336"/>
      <c r="F215" s="338" t="s">
        <v>2427</v>
      </c>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240"/>
      <c r="AI215" s="240"/>
      <c r="AJ215" s="240"/>
      <c r="AK215" s="240"/>
      <c r="AL215" s="240"/>
      <c r="AM215" s="240"/>
      <c r="AN215" s="255"/>
      <c r="AO215" s="240"/>
      <c r="AP215" s="260"/>
    </row>
    <row r="216" spans="1:54" s="256" customFormat="1" ht="15" customHeight="1">
      <c r="A216" s="240"/>
      <c r="B216" s="339"/>
      <c r="C216" s="339"/>
      <c r="D216" s="339"/>
      <c r="E216" s="339"/>
      <c r="F216" s="339"/>
      <c r="G216" s="339"/>
      <c r="H216" s="340"/>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340"/>
      <c r="AE216" s="339"/>
      <c r="AF216" s="339"/>
      <c r="AG216" s="339"/>
      <c r="AH216" s="240"/>
      <c r="AI216" s="240"/>
      <c r="AJ216" s="240"/>
      <c r="AK216" s="240"/>
      <c r="AL216" s="240"/>
      <c r="AM216" s="240"/>
      <c r="AN216" s="255"/>
      <c r="AO216" s="240"/>
      <c r="AP216" s="260"/>
    </row>
    <row r="217" spans="1:54" s="256" customFormat="1" ht="12" customHeight="1">
      <c r="A217" s="240"/>
      <c r="B217" s="341"/>
      <c r="C217" s="342" t="s">
        <v>2412</v>
      </c>
      <c r="D217" s="339"/>
      <c r="E217" s="339"/>
      <c r="F217" s="339"/>
      <c r="G217" s="339"/>
      <c r="H217" s="339"/>
      <c r="I217" s="339"/>
      <c r="J217" s="339"/>
      <c r="K217" s="339"/>
      <c r="L217" s="343"/>
      <c r="M217" s="339"/>
      <c r="N217" s="343"/>
      <c r="O217" s="339"/>
      <c r="P217" s="343"/>
      <c r="Q217" s="344"/>
      <c r="R217" s="339"/>
      <c r="S217" s="339"/>
      <c r="T217" s="345"/>
      <c r="U217" s="339"/>
      <c r="V217" s="339"/>
      <c r="W217" s="343"/>
      <c r="X217" s="339"/>
      <c r="Y217" s="339"/>
      <c r="Z217" s="343"/>
      <c r="AA217" s="339"/>
      <c r="AB217" s="339"/>
      <c r="AC217" s="339"/>
      <c r="AD217" s="339"/>
      <c r="AE217" s="343"/>
      <c r="AF217" s="344"/>
      <c r="AG217" s="339"/>
      <c r="AH217" s="241"/>
      <c r="AI217" s="240"/>
      <c r="AJ217" s="240"/>
      <c r="AK217" s="240"/>
      <c r="AL217" s="240"/>
      <c r="AM217" s="240"/>
      <c r="AN217" s="255"/>
      <c r="AO217" s="240"/>
      <c r="AP217" s="260"/>
    </row>
    <row r="218" spans="1:54" s="256" customFormat="1" ht="12" customHeight="1">
      <c r="A218" s="240"/>
      <c r="B218" s="341"/>
      <c r="C218" s="342" t="s">
        <v>2413</v>
      </c>
      <c r="D218" s="339"/>
      <c r="E218" s="339"/>
      <c r="F218" s="339"/>
      <c r="G218" s="339"/>
      <c r="H218" s="339"/>
      <c r="I218" s="339"/>
      <c r="J218" s="339"/>
      <c r="K218" s="339"/>
      <c r="L218" s="343"/>
      <c r="M218" s="339"/>
      <c r="N218" s="343"/>
      <c r="O218" s="339"/>
      <c r="P218" s="343"/>
      <c r="Q218" s="344"/>
      <c r="R218" s="339"/>
      <c r="S218" s="339"/>
      <c r="T218" s="345"/>
      <c r="U218" s="339"/>
      <c r="V218" s="339"/>
      <c r="W218" s="343"/>
      <c r="X218" s="339"/>
      <c r="Y218" s="339"/>
      <c r="Z218" s="343"/>
      <c r="AA218" s="339"/>
      <c r="AB218" s="339"/>
      <c r="AC218" s="339"/>
      <c r="AD218" s="339"/>
      <c r="AE218" s="343"/>
      <c r="AF218" s="344"/>
      <c r="AG218" s="339"/>
      <c r="AH218" s="241"/>
      <c r="AI218" s="240"/>
      <c r="AJ218" s="240"/>
      <c r="AK218" s="240"/>
      <c r="AL218" s="240"/>
      <c r="AM218" s="240"/>
      <c r="AN218" s="255"/>
      <c r="AO218" s="240"/>
      <c r="AP218" s="260"/>
    </row>
    <row r="219" spans="1:54" s="256" customFormat="1" ht="12" customHeight="1">
      <c r="A219" s="240"/>
      <c r="B219" s="341"/>
      <c r="C219" s="339"/>
      <c r="D219" s="339"/>
      <c r="E219" s="339"/>
      <c r="F219" s="339"/>
      <c r="G219" s="339"/>
      <c r="H219" s="339"/>
      <c r="I219" s="339"/>
      <c r="J219" s="339"/>
      <c r="K219" s="339"/>
      <c r="L219" s="343"/>
      <c r="M219" s="339"/>
      <c r="N219" s="343"/>
      <c r="O219" s="339"/>
      <c r="P219" s="343"/>
      <c r="Q219" s="344"/>
      <c r="R219" s="339"/>
      <c r="S219" s="339"/>
      <c r="T219" s="345"/>
      <c r="U219" s="339"/>
      <c r="V219" s="339"/>
      <c r="W219" s="343"/>
      <c r="X219" s="339"/>
      <c r="Y219" s="339"/>
      <c r="Z219" s="343"/>
      <c r="AA219" s="339"/>
      <c r="AB219" s="339"/>
      <c r="AC219" s="339"/>
      <c r="AD219" s="339"/>
      <c r="AE219" s="343"/>
      <c r="AF219" s="344"/>
      <c r="AG219" s="339"/>
      <c r="AH219" s="241"/>
      <c r="AI219" s="240"/>
      <c r="AJ219" s="240"/>
      <c r="AK219" s="240"/>
      <c r="AL219" s="240"/>
      <c r="AM219" s="240"/>
      <c r="AN219" s="255"/>
      <c r="AO219" s="240"/>
      <c r="AP219" s="260"/>
    </row>
    <row r="220" spans="1:54" s="256" customFormat="1" ht="12" customHeight="1">
      <c r="A220" s="240"/>
      <c r="B220" s="341"/>
      <c r="C220" s="348"/>
      <c r="D220" s="348"/>
      <c r="E220" s="348"/>
      <c r="F220" s="348"/>
      <c r="G220" s="348"/>
      <c r="H220" s="348"/>
      <c r="I220" s="348"/>
      <c r="J220" s="348"/>
      <c r="K220" s="348"/>
      <c r="L220" s="343"/>
      <c r="M220" s="348"/>
      <c r="N220" s="343"/>
      <c r="O220" s="348"/>
      <c r="P220" s="343"/>
      <c r="Q220" s="344"/>
      <c r="R220" s="343"/>
      <c r="S220" s="343"/>
      <c r="T220" s="344"/>
      <c r="U220" s="343"/>
      <c r="V220" s="348"/>
      <c r="W220" s="343"/>
      <c r="X220" s="348"/>
      <c r="Y220" s="348"/>
      <c r="Z220" s="343"/>
      <c r="AA220" s="348"/>
      <c r="AB220" s="348"/>
      <c r="AC220" s="343"/>
      <c r="AD220" s="348"/>
      <c r="AE220" s="343"/>
      <c r="AF220" s="344"/>
      <c r="AG220" s="339"/>
      <c r="AH220" s="241"/>
      <c r="AI220" s="240"/>
      <c r="AJ220" s="240"/>
      <c r="AK220" s="240"/>
      <c r="AL220" s="240"/>
      <c r="AM220" s="240"/>
      <c r="AN220" s="255"/>
      <c r="AO220" s="240"/>
      <c r="AP220" s="260"/>
    </row>
    <row r="221" spans="1:54" s="256" customFormat="1" ht="6" customHeight="1">
      <c r="A221" s="240"/>
      <c r="B221" s="341"/>
      <c r="C221" s="400"/>
      <c r="D221" s="400"/>
      <c r="E221" s="400"/>
      <c r="F221" s="400"/>
      <c r="G221" s="400"/>
      <c r="H221" s="400"/>
      <c r="I221" s="400"/>
      <c r="J221" s="400"/>
      <c r="K221" s="400"/>
      <c r="L221" s="401"/>
      <c r="M221" s="400"/>
      <c r="N221" s="401"/>
      <c r="O221" s="400"/>
      <c r="P221" s="401"/>
      <c r="Q221" s="402"/>
      <c r="R221" s="401"/>
      <c r="S221" s="401"/>
      <c r="T221" s="402"/>
      <c r="U221" s="401"/>
      <c r="V221" s="400"/>
      <c r="W221" s="401"/>
      <c r="X221" s="400"/>
      <c r="Y221" s="400"/>
      <c r="Z221" s="401"/>
      <c r="AA221" s="400"/>
      <c r="AB221" s="400"/>
      <c r="AC221" s="401"/>
      <c r="AD221" s="400"/>
      <c r="AE221" s="401"/>
      <c r="AF221" s="402"/>
      <c r="AG221" s="339"/>
      <c r="AH221" s="241"/>
      <c r="AI221" s="240"/>
      <c r="AJ221" s="240"/>
      <c r="AK221" s="240"/>
      <c r="AL221" s="240"/>
      <c r="AM221" s="240"/>
      <c r="AN221" s="255"/>
      <c r="AO221" s="240"/>
      <c r="AP221" s="260"/>
    </row>
    <row r="222" spans="1:54" s="256" customFormat="1" ht="11.4" customHeight="1">
      <c r="A222" s="240"/>
      <c r="B222" s="341"/>
      <c r="C222" s="394" t="str">
        <f ca="1">OFFSET($A$1,$AZ223-1,$AY223-1)</f>
        <v>C.A.001</v>
      </c>
      <c r="D222" s="365"/>
      <c r="E222" s="365"/>
      <c r="F222" s="365"/>
      <c r="G222" s="365"/>
      <c r="H222" s="365"/>
      <c r="I222" s="365"/>
      <c r="J222" s="365"/>
      <c r="K222" s="366"/>
      <c r="L222" s="395" t="str">
        <f ca="1">OFFSET($A$1,$BA223-1,$AY223-1)</f>
        <v>Building from 1960, original | no insulation upgrade</v>
      </c>
      <c r="M222" s="396"/>
      <c r="N222" s="396"/>
      <c r="O222" s="396"/>
      <c r="P222" s="396"/>
      <c r="Q222" s="396"/>
      <c r="R222" s="397"/>
      <c r="S222" s="397"/>
      <c r="T222" s="398"/>
      <c r="U222" s="396"/>
      <c r="V222" s="396"/>
      <c r="W222" s="396"/>
      <c r="X222" s="396"/>
      <c r="Y222" s="396"/>
      <c r="Z222" s="396"/>
      <c r="AA222" s="396"/>
      <c r="AB222" s="396"/>
      <c r="AC222" s="396"/>
      <c r="AD222" s="396"/>
      <c r="AE222" s="396"/>
      <c r="AF222" s="399"/>
      <c r="AG222" s="339"/>
      <c r="AH222" s="241"/>
      <c r="AI222" s="240"/>
      <c r="AJ222" s="240"/>
      <c r="AK222" s="240"/>
      <c r="AL222" s="240"/>
      <c r="AM222" s="240"/>
      <c r="AN222" s="255"/>
      <c r="AO222" s="240"/>
      <c r="AP222" s="260"/>
    </row>
    <row r="223" spans="1:54" s="256" customFormat="1" ht="11.4" customHeight="1">
      <c r="A223" s="240"/>
      <c r="B223" s="341"/>
      <c r="C223" s="333"/>
      <c r="D223" s="334"/>
      <c r="E223" s="334"/>
      <c r="F223" s="334"/>
      <c r="G223" s="334"/>
      <c r="H223" s="334"/>
      <c r="I223" s="334"/>
      <c r="J223" s="334"/>
      <c r="K223" s="335"/>
      <c r="L223" s="343"/>
      <c r="M223" s="348"/>
      <c r="N223" s="343"/>
      <c r="O223" s="348"/>
      <c r="P223" s="343"/>
      <c r="Q223" s="348"/>
      <c r="R223" s="343"/>
      <c r="S223" s="343"/>
      <c r="T223" s="351"/>
      <c r="U223" s="343"/>
      <c r="V223" s="348"/>
      <c r="W223" s="343"/>
      <c r="X223" s="348"/>
      <c r="Y223" s="348"/>
      <c r="Z223" s="343"/>
      <c r="AA223" s="348"/>
      <c r="AB223" s="352" t="s">
        <v>46</v>
      </c>
      <c r="AC223" s="343"/>
      <c r="AD223" s="353"/>
      <c r="AE223" s="343"/>
      <c r="AF223" s="344"/>
      <c r="AG223" s="339"/>
      <c r="AH223" s="241"/>
      <c r="AI223" s="240"/>
      <c r="AJ223" s="240"/>
      <c r="AK223" s="240"/>
      <c r="AL223" s="240"/>
      <c r="AM223" s="240"/>
      <c r="AN223" s="255"/>
      <c r="AO223" s="240"/>
      <c r="AP223" s="260"/>
      <c r="AY223" s="300">
        <f>COLUMN($AP$32)</f>
        <v>42</v>
      </c>
      <c r="AZ223" s="300">
        <f>ROW($AP$8)</f>
        <v>8</v>
      </c>
      <c r="BA223" s="300">
        <f>ROW($AP$20)</f>
        <v>20</v>
      </c>
    </row>
    <row r="224" spans="1:54" s="256" customFormat="1" ht="11.4" customHeight="1">
      <c r="A224" s="240"/>
      <c r="B224" s="341"/>
      <c r="C224" s="346"/>
      <c r="D224" s="348" t="s">
        <v>2414</v>
      </c>
      <c r="E224" s="348"/>
      <c r="F224" s="348"/>
      <c r="G224" s="348"/>
      <c r="H224" s="348"/>
      <c r="I224" s="348"/>
      <c r="J224" s="348"/>
      <c r="K224" s="348"/>
      <c r="L224" s="302" t="s">
        <v>2420</v>
      </c>
      <c r="M224" s="261"/>
      <c r="N224" s="368" t="s">
        <v>46</v>
      </c>
      <c r="O224" s="369"/>
      <c r="P224" s="309">
        <f ca="1">OFFSET($A$1,$AZ224-1,$AY224-1)</f>
        <v>1.1000000000000001</v>
      </c>
      <c r="Q224" s="310"/>
      <c r="R224" s="311" t="str">
        <f ca="1">OFFSET($A$1,$BA224-1,$AY224-1)</f>
        <v>D</v>
      </c>
      <c r="S224" s="312">
        <f ca="1">OFFSET($A$1,$BB224-1,$AY224-1)</f>
        <v>0.33</v>
      </c>
      <c r="T224" s="313"/>
      <c r="U224" s="314">
        <f ca="1">IFERROR(S224/P224,0)</f>
        <v>0.3</v>
      </c>
      <c r="V224" s="315"/>
      <c r="W224" s="316">
        <f ca="1">IF(P224&gt;0,IFERROR((1+P225*(1/(1+P226/P227*P224)^2-1)),1),"")</f>
        <v>1</v>
      </c>
      <c r="X224" s="317"/>
      <c r="Y224" s="318"/>
      <c r="Z224" s="319">
        <f ca="1">IFERROR(ABS(W224*S224),"")</f>
        <v>0.33</v>
      </c>
      <c r="AA224" s="320"/>
      <c r="AB224" s="321"/>
      <c r="AC224" s="322">
        <f ca="1">IFERROR(Z224/P229,"")</f>
        <v>0.3</v>
      </c>
      <c r="AD224" s="323"/>
      <c r="AE224" s="385">
        <f ca="1">IFERROR(AL224/AL229,"")</f>
        <v>1</v>
      </c>
      <c r="AF224" s="386"/>
      <c r="AG224" s="339"/>
      <c r="AH224" s="241"/>
      <c r="AI224" s="262"/>
      <c r="AJ224" s="262"/>
      <c r="AK224" s="262"/>
      <c r="AL224" s="263">
        <f ca="1">IFERROR(Z224^2,0)</f>
        <v>0.10890000000000001</v>
      </c>
      <c r="AM224" s="264"/>
      <c r="AN224" s="255"/>
      <c r="AO224" s="240"/>
      <c r="AP224" s="262"/>
      <c r="AY224" s="299">
        <f>AY223</f>
        <v>42</v>
      </c>
      <c r="AZ224" s="300">
        <f>ROW($AP$32)</f>
        <v>32</v>
      </c>
      <c r="BA224" s="300">
        <f>ROW($AP$92)</f>
        <v>92</v>
      </c>
      <c r="BB224" s="300">
        <f>ROW($AP$140)</f>
        <v>140</v>
      </c>
    </row>
    <row r="225" spans="1:54" s="256" customFormat="1" ht="11.4" customHeight="1">
      <c r="A225" s="240"/>
      <c r="B225" s="341"/>
      <c r="C225" s="346"/>
      <c r="D225" s="348" t="s">
        <v>2415</v>
      </c>
      <c r="E225" s="348"/>
      <c r="F225" s="348"/>
      <c r="G225" s="348"/>
      <c r="H225" s="348"/>
      <c r="I225" s="348"/>
      <c r="J225" s="348"/>
      <c r="K225" s="348"/>
      <c r="L225" s="302" t="s">
        <v>2421</v>
      </c>
      <c r="M225" s="261"/>
      <c r="N225" s="368" t="s">
        <v>1266</v>
      </c>
      <c r="O225" s="369"/>
      <c r="P225" s="309">
        <f t="shared" ref="P225:P227" ca="1" si="22">OFFSET($A$1,$AZ225-1,$AY225-1)</f>
        <v>0</v>
      </c>
      <c r="Q225" s="310"/>
      <c r="R225" s="311" t="str">
        <f t="shared" ref="R225:R227" ca="1" si="23">OFFSET($A$1,$BA225-1,$AY225-1)</f>
        <v>E</v>
      </c>
      <c r="S225" s="312">
        <f t="shared" ref="S225:S227" ca="1" si="24">OFFSET($A$1,$BB225-1,$AY225-1)</f>
        <v>0</v>
      </c>
      <c r="T225" s="313"/>
      <c r="U225" s="314">
        <f ca="1">IFERROR(S225/P225,0)</f>
        <v>0</v>
      </c>
      <c r="V225" s="315"/>
      <c r="W225" s="316" t="str">
        <f ca="1">IFERROR((-P224+1/(1/P224+P226/P227)),"")</f>
        <v/>
      </c>
      <c r="X225" s="317"/>
      <c r="Y225" s="318"/>
      <c r="Z225" s="319" t="str">
        <f t="shared" ref="Z225:Z227" ca="1" si="25">IFERROR(ABS(W225*S225),"")</f>
        <v/>
      </c>
      <c r="AA225" s="320"/>
      <c r="AB225" s="321"/>
      <c r="AC225" s="322" t="str">
        <f ca="1">IFERROR(Z225/P229,"")</f>
        <v/>
      </c>
      <c r="AD225" s="323"/>
      <c r="AE225" s="385">
        <f ca="1">IFERROR(AL225/AL229,"")</f>
        <v>0</v>
      </c>
      <c r="AF225" s="386"/>
      <c r="AG225" s="339"/>
      <c r="AH225" s="241"/>
      <c r="AI225" s="262"/>
      <c r="AJ225" s="262"/>
      <c r="AK225" s="262"/>
      <c r="AL225" s="263">
        <f t="shared" ref="AL225:AL227" ca="1" si="26">IFERROR(Z225^2,0)</f>
        <v>0</v>
      </c>
      <c r="AM225" s="264"/>
      <c r="AN225" s="255"/>
      <c r="AO225" s="240"/>
      <c r="AP225" s="262"/>
      <c r="AY225" s="299">
        <f>AY224</f>
        <v>42</v>
      </c>
      <c r="AZ225" s="300">
        <f>ROW($AP$44)</f>
        <v>44</v>
      </c>
      <c r="BA225" s="300">
        <f>ROW($AP$104)</f>
        <v>104</v>
      </c>
      <c r="BB225" s="300">
        <f>ROW($AP$152)</f>
        <v>152</v>
      </c>
    </row>
    <row r="226" spans="1:54" s="256" customFormat="1" ht="11.4" customHeight="1">
      <c r="A226" s="240"/>
      <c r="B226" s="341"/>
      <c r="C226" s="346"/>
      <c r="D226" s="348" t="s">
        <v>175</v>
      </c>
      <c r="E226" s="348"/>
      <c r="F226" s="348"/>
      <c r="G226" s="348"/>
      <c r="H226" s="348"/>
      <c r="I226" s="348"/>
      <c r="J226" s="348"/>
      <c r="K226" s="348"/>
      <c r="L226" s="302" t="s">
        <v>2422</v>
      </c>
      <c r="M226" s="261"/>
      <c r="N226" s="368" t="s">
        <v>2416</v>
      </c>
      <c r="O226" s="369"/>
      <c r="P226" s="309">
        <f t="shared" ca="1" si="22"/>
        <v>0</v>
      </c>
      <c r="Q226" s="324"/>
      <c r="R226" s="311" t="str">
        <f t="shared" ca="1" si="23"/>
        <v>E</v>
      </c>
      <c r="S226" s="312">
        <f t="shared" ca="1" si="24"/>
        <v>0</v>
      </c>
      <c r="T226" s="313"/>
      <c r="U226" s="314">
        <f ca="1">IFERROR(S226/P226,0)</f>
        <v>0</v>
      </c>
      <c r="V226" s="315"/>
      <c r="W226" s="316" t="str">
        <f ca="1">IFERROR(-P225*P227/(P227/P224+P226)^2,"")</f>
        <v/>
      </c>
      <c r="X226" s="317"/>
      <c r="Y226" s="318"/>
      <c r="Z226" s="319" t="str">
        <f t="shared" ca="1" si="25"/>
        <v/>
      </c>
      <c r="AA226" s="320"/>
      <c r="AB226" s="321"/>
      <c r="AC226" s="322" t="str">
        <f ca="1">IFERROR(Z226/P229,"")</f>
        <v/>
      </c>
      <c r="AD226" s="323"/>
      <c r="AE226" s="385">
        <f ca="1">IFERROR(AL226/AL229,"")</f>
        <v>0</v>
      </c>
      <c r="AF226" s="387"/>
      <c r="AG226" s="339"/>
      <c r="AH226" s="241"/>
      <c r="AI226" s="262"/>
      <c r="AJ226" s="262"/>
      <c r="AK226" s="262"/>
      <c r="AL226" s="263">
        <f t="shared" ca="1" si="26"/>
        <v>0</v>
      </c>
      <c r="AM226" s="264"/>
      <c r="AN226" s="255"/>
      <c r="AO226" s="240"/>
      <c r="AP226" s="262"/>
      <c r="AY226" s="299">
        <f t="shared" ref="AY226:AY229" si="27">COLUMN($AP$32)</f>
        <v>42</v>
      </c>
      <c r="AZ226" s="300">
        <f>ROW($AP$56)</f>
        <v>56</v>
      </c>
      <c r="BA226" s="300">
        <f>ROW($AP$116)</f>
        <v>116</v>
      </c>
      <c r="BB226" s="300">
        <f>ROW($AP$164)</f>
        <v>164</v>
      </c>
    </row>
    <row r="227" spans="1:54" s="256" customFormat="1" ht="11.4" customHeight="1">
      <c r="A227" s="240"/>
      <c r="B227" s="341"/>
      <c r="C227" s="346"/>
      <c r="D227" s="348" t="s">
        <v>2417</v>
      </c>
      <c r="E227" s="348"/>
      <c r="F227" s="348"/>
      <c r="G227" s="348"/>
      <c r="H227" s="348"/>
      <c r="I227" s="348"/>
      <c r="J227" s="348"/>
      <c r="K227" s="348"/>
      <c r="L227" s="302" t="s">
        <v>2423</v>
      </c>
      <c r="M227" s="261"/>
      <c r="N227" s="368" t="s">
        <v>45</v>
      </c>
      <c r="O227" s="369"/>
      <c r="P227" s="325">
        <f t="shared" ca="1" si="22"/>
        <v>0</v>
      </c>
      <c r="Q227" s="324"/>
      <c r="R227" s="311" t="str">
        <f t="shared" ca="1" si="23"/>
        <v>E</v>
      </c>
      <c r="S227" s="326">
        <f t="shared" ca="1" si="24"/>
        <v>0</v>
      </c>
      <c r="T227" s="327"/>
      <c r="U227" s="314">
        <f ca="1">IFERROR(S227/P227,0)</f>
        <v>0</v>
      </c>
      <c r="V227" s="315"/>
      <c r="W227" s="316" t="str">
        <f ca="1">IFERROR(P225*P226/(P227/P224+P226)^2,"")</f>
        <v/>
      </c>
      <c r="X227" s="317"/>
      <c r="Y227" s="318"/>
      <c r="Z227" s="319" t="str">
        <f t="shared" ca="1" si="25"/>
        <v/>
      </c>
      <c r="AA227" s="320"/>
      <c r="AB227" s="321"/>
      <c r="AC227" s="322" t="str">
        <f ca="1">IFERROR(Z227/P229,"")</f>
        <v/>
      </c>
      <c r="AD227" s="323"/>
      <c r="AE227" s="385">
        <f ca="1">IFERROR(AL227/AL229,"")</f>
        <v>0</v>
      </c>
      <c r="AF227" s="387"/>
      <c r="AG227" s="339"/>
      <c r="AH227" s="241"/>
      <c r="AI227" s="262"/>
      <c r="AJ227" s="262"/>
      <c r="AK227" s="262"/>
      <c r="AL227" s="263">
        <f t="shared" ca="1" si="26"/>
        <v>0</v>
      </c>
      <c r="AM227" s="264"/>
      <c r="AN227" s="255"/>
      <c r="AO227" s="240"/>
      <c r="AP227" s="262"/>
      <c r="AY227" s="299">
        <f t="shared" si="27"/>
        <v>42</v>
      </c>
      <c r="AZ227" s="300">
        <f>ROW($AP$68)</f>
        <v>68</v>
      </c>
      <c r="BA227" s="300">
        <f>ROW($AP$128)</f>
        <v>128</v>
      </c>
      <c r="BB227" s="300">
        <f>ROW($AP$176)</f>
        <v>176</v>
      </c>
    </row>
    <row r="228" spans="1:54" s="256" customFormat="1" ht="11.4" customHeight="1">
      <c r="A228" s="240"/>
      <c r="B228" s="341"/>
      <c r="C228" s="347"/>
      <c r="D228" s="348"/>
      <c r="E228" s="370" t="s">
        <v>2424</v>
      </c>
      <c r="F228" s="371"/>
      <c r="G228" s="371"/>
      <c r="H228" s="349"/>
      <c r="I228" s="372"/>
      <c r="J228" s="371"/>
      <c r="K228" s="371"/>
      <c r="L228" s="373"/>
      <c r="M228" s="374"/>
      <c r="N228" s="375" t="s">
        <v>46</v>
      </c>
      <c r="O228" s="376"/>
      <c r="P228" s="392" t="str">
        <f ca="1">IFERROR(1/(1/P224+P226/P227),"")</f>
        <v/>
      </c>
      <c r="Q228" s="393"/>
      <c r="R228" s="355"/>
      <c r="S228" s="355"/>
      <c r="T228" s="356"/>
      <c r="U228" s="355"/>
      <c r="V228" s="357"/>
      <c r="W228" s="355"/>
      <c r="X228" s="357"/>
      <c r="Y228" s="357"/>
      <c r="Z228" s="354" t="s">
        <v>2411</v>
      </c>
      <c r="AA228" s="358"/>
      <c r="AB228" s="358"/>
      <c r="AC228" s="359"/>
      <c r="AD228" s="358"/>
      <c r="AE228" s="388"/>
      <c r="AF228" s="389"/>
      <c r="AG228" s="339"/>
      <c r="AH228" s="241"/>
      <c r="AI228" s="240"/>
      <c r="AJ228" s="240"/>
      <c r="AK228" s="240"/>
      <c r="AL228" s="265"/>
      <c r="AM228" s="265"/>
      <c r="AN228" s="255"/>
      <c r="AO228" s="240"/>
      <c r="AU228" s="406" t="s">
        <v>2419</v>
      </c>
      <c r="AW228" s="301"/>
    </row>
    <row r="229" spans="1:54" s="256" customFormat="1" ht="11.4" customHeight="1">
      <c r="A229" s="240"/>
      <c r="B229" s="341"/>
      <c r="C229" s="367" t="s">
        <v>2425</v>
      </c>
      <c r="D229" s="348"/>
      <c r="E229" s="348"/>
      <c r="F229" s="348"/>
      <c r="G229" s="348"/>
      <c r="H229" s="349"/>
      <c r="I229" s="350"/>
      <c r="J229" s="348"/>
      <c r="K229" s="348"/>
      <c r="L229" s="360"/>
      <c r="M229" s="361"/>
      <c r="N229" s="368" t="s">
        <v>46</v>
      </c>
      <c r="O229" s="369"/>
      <c r="P229" s="328">
        <f ca="1">IFERROR((1-P225)*P224+P225*1/(1/P224+P226/P227),P224)</f>
        <v>1.1000000000000001</v>
      </c>
      <c r="Q229" s="329"/>
      <c r="R229" s="362"/>
      <c r="S229" s="362"/>
      <c r="T229" s="363"/>
      <c r="U229" s="362"/>
      <c r="V229" s="364"/>
      <c r="W229" s="362"/>
      <c r="X229" s="364"/>
      <c r="Y229" s="364"/>
      <c r="Z229" s="330">
        <f ca="1">IF(P224&gt;0,IFERROR(SQRT(SUMPRODUCT(Z224:Z227,Z224:Z227)),""),"")</f>
        <v>0.33</v>
      </c>
      <c r="AA229" s="331"/>
      <c r="AB229" s="332"/>
      <c r="AC229" s="322">
        <f ca="1">IFERROR(Z229/P229,"")</f>
        <v>0.3</v>
      </c>
      <c r="AD229" s="323"/>
      <c r="AE229" s="390">
        <f ca="1">IFERROR(AL229/AL229,"")</f>
        <v>1</v>
      </c>
      <c r="AF229" s="391"/>
      <c r="AG229" s="341"/>
      <c r="AH229" s="241"/>
      <c r="AI229" s="262"/>
      <c r="AJ229" s="262"/>
      <c r="AK229" s="262"/>
      <c r="AL229" s="263">
        <f ca="1">SUM(AL224:AL227)</f>
        <v>0.10890000000000001</v>
      </c>
      <c r="AM229" s="264"/>
      <c r="AN229" s="255"/>
      <c r="AO229" s="240"/>
      <c r="AP229" s="260"/>
      <c r="AU229" s="403">
        <f ca="1">OFFSET($A$1,$BA229-1,$AY229-1)</f>
        <v>1.1000000000000001</v>
      </c>
      <c r="AV229" s="404"/>
      <c r="AW229" s="405">
        <f ca="1">OFFSET($A$1,$BB229-1,$AY229-1)</f>
        <v>0.33</v>
      </c>
      <c r="AX229" s="404"/>
      <c r="AY229" s="299">
        <f t="shared" si="27"/>
        <v>42</v>
      </c>
      <c r="BA229" s="300">
        <f>ROW($AP$80)</f>
        <v>80</v>
      </c>
      <c r="BB229" s="300">
        <f>ROW($AP$188)</f>
        <v>188</v>
      </c>
    </row>
    <row r="230" spans="1:54" s="256" customFormat="1" ht="6" customHeight="1">
      <c r="A230" s="240"/>
      <c r="B230" s="341"/>
      <c r="C230" s="377"/>
      <c r="D230" s="378"/>
      <c r="E230" s="378"/>
      <c r="F230" s="378"/>
      <c r="G230" s="378"/>
      <c r="H230" s="378"/>
      <c r="I230" s="378"/>
      <c r="J230" s="378"/>
      <c r="K230" s="378"/>
      <c r="L230" s="379"/>
      <c r="M230" s="380"/>
      <c r="N230" s="379"/>
      <c r="O230" s="380"/>
      <c r="P230" s="379"/>
      <c r="Q230" s="381"/>
      <c r="R230" s="382"/>
      <c r="S230" s="382"/>
      <c r="T230" s="383"/>
      <c r="U230" s="382"/>
      <c r="V230" s="378"/>
      <c r="W230" s="382"/>
      <c r="X230" s="378"/>
      <c r="Y230" s="378"/>
      <c r="Z230" s="382"/>
      <c r="AA230" s="378"/>
      <c r="AB230" s="378"/>
      <c r="AC230" s="382"/>
      <c r="AD230" s="378"/>
      <c r="AE230" s="382"/>
      <c r="AF230" s="384"/>
      <c r="AG230" s="339"/>
      <c r="AH230" s="241"/>
      <c r="AI230" s="240"/>
      <c r="AJ230" s="240"/>
      <c r="AK230" s="240"/>
      <c r="AL230" s="240"/>
      <c r="AM230" s="240"/>
      <c r="AN230" s="255"/>
      <c r="AO230" s="240"/>
      <c r="AP230" s="260"/>
    </row>
    <row r="231" spans="1:54" s="256" customFormat="1" ht="6" customHeight="1">
      <c r="A231" s="240"/>
      <c r="B231" s="341"/>
      <c r="C231" s="400"/>
      <c r="D231" s="400"/>
      <c r="E231" s="400"/>
      <c r="F231" s="400"/>
      <c r="G231" s="400"/>
      <c r="H231" s="400"/>
      <c r="I231" s="400"/>
      <c r="J231" s="400"/>
      <c r="K231" s="400"/>
      <c r="L231" s="401"/>
      <c r="M231" s="400"/>
      <c r="N231" s="401"/>
      <c r="O231" s="400"/>
      <c r="P231" s="401"/>
      <c r="Q231" s="402"/>
      <c r="R231" s="401"/>
      <c r="S231" s="401"/>
      <c r="T231" s="402"/>
      <c r="U231" s="401"/>
      <c r="V231" s="400"/>
      <c r="W231" s="401"/>
      <c r="X231" s="400"/>
      <c r="Y231" s="400"/>
      <c r="Z231" s="401"/>
      <c r="AA231" s="400"/>
      <c r="AB231" s="400"/>
      <c r="AC231" s="401"/>
      <c r="AD231" s="400"/>
      <c r="AE231" s="401"/>
      <c r="AF231" s="402"/>
      <c r="AG231" s="339"/>
      <c r="AH231" s="241"/>
      <c r="AI231" s="240"/>
      <c r="AJ231" s="240"/>
      <c r="AK231" s="240"/>
      <c r="AL231" s="240"/>
      <c r="AM231" s="240"/>
      <c r="AN231" s="255"/>
      <c r="AO231" s="240"/>
      <c r="AP231" s="260"/>
    </row>
    <row r="232" spans="1:54" s="256" customFormat="1" ht="11.4" customHeight="1">
      <c r="A232" s="240"/>
      <c r="B232" s="341"/>
      <c r="C232" s="394" t="str">
        <f ca="1">OFFSET($A$1,$AZ233-1,$AY233-1)</f>
        <v>C.A.002</v>
      </c>
      <c r="D232" s="365"/>
      <c r="E232" s="365"/>
      <c r="F232" s="365"/>
      <c r="G232" s="365"/>
      <c r="H232" s="365"/>
      <c r="I232" s="365"/>
      <c r="J232" s="365"/>
      <c r="K232" s="366"/>
      <c r="L232" s="395" t="str">
        <f ca="1">OFFSET($A$1,$BA233-1,$AY233-1)</f>
        <v>Building from 1980, original | no insulation upgrade</v>
      </c>
      <c r="M232" s="396"/>
      <c r="N232" s="396"/>
      <c r="O232" s="396"/>
      <c r="P232" s="396"/>
      <c r="Q232" s="396"/>
      <c r="R232" s="397"/>
      <c r="S232" s="397"/>
      <c r="T232" s="398"/>
      <c r="U232" s="396"/>
      <c r="V232" s="396"/>
      <c r="W232" s="396"/>
      <c r="X232" s="396"/>
      <c r="Y232" s="396"/>
      <c r="Z232" s="396"/>
      <c r="AA232" s="396"/>
      <c r="AB232" s="396"/>
      <c r="AC232" s="396"/>
      <c r="AD232" s="396"/>
      <c r="AE232" s="396"/>
      <c r="AF232" s="399"/>
      <c r="AG232" s="339"/>
      <c r="AH232" s="241"/>
      <c r="AI232" s="240"/>
      <c r="AJ232" s="240"/>
      <c r="AK232" s="240"/>
      <c r="AL232" s="240"/>
      <c r="AM232" s="240"/>
      <c r="AN232" s="255"/>
      <c r="AO232" s="240"/>
      <c r="AP232" s="260"/>
    </row>
    <row r="233" spans="1:54" s="256" customFormat="1" ht="11.4" customHeight="1">
      <c r="A233" s="240"/>
      <c r="B233" s="341"/>
      <c r="C233" s="333"/>
      <c r="D233" s="334"/>
      <c r="E233" s="334"/>
      <c r="F233" s="334"/>
      <c r="G233" s="334"/>
      <c r="H233" s="334"/>
      <c r="I233" s="334"/>
      <c r="J233" s="334"/>
      <c r="K233" s="335"/>
      <c r="L233" s="343"/>
      <c r="M233" s="348"/>
      <c r="N233" s="343"/>
      <c r="O233" s="348"/>
      <c r="P233" s="343"/>
      <c r="Q233" s="348"/>
      <c r="R233" s="343"/>
      <c r="S233" s="343"/>
      <c r="T233" s="351"/>
      <c r="U233" s="343"/>
      <c r="V233" s="348"/>
      <c r="W233" s="343"/>
      <c r="X233" s="348"/>
      <c r="Y233" s="348"/>
      <c r="Z233" s="343"/>
      <c r="AA233" s="348"/>
      <c r="AB233" s="352" t="s">
        <v>46</v>
      </c>
      <c r="AC233" s="343"/>
      <c r="AD233" s="353"/>
      <c r="AE233" s="343"/>
      <c r="AF233" s="344"/>
      <c r="AG233" s="339"/>
      <c r="AH233" s="241"/>
      <c r="AI233" s="240"/>
      <c r="AJ233" s="240"/>
      <c r="AK233" s="240"/>
      <c r="AL233" s="240"/>
      <c r="AM233" s="240"/>
      <c r="AN233" s="255"/>
      <c r="AO233" s="240"/>
      <c r="AP233" s="260"/>
      <c r="AY233" s="299">
        <f>AY223</f>
        <v>42</v>
      </c>
      <c r="AZ233" s="300">
        <f>AZ223+1</f>
        <v>9</v>
      </c>
      <c r="BA233" s="300">
        <f t="shared" ref="BA233:BB234" si="28">BA223+1</f>
        <v>21</v>
      </c>
    </row>
    <row r="234" spans="1:54" s="256" customFormat="1" ht="11.4" customHeight="1">
      <c r="A234" s="240"/>
      <c r="B234" s="341"/>
      <c r="C234" s="346"/>
      <c r="D234" s="348" t="s">
        <v>2414</v>
      </c>
      <c r="E234" s="348"/>
      <c r="F234" s="348"/>
      <c r="G234" s="348"/>
      <c r="H234" s="348"/>
      <c r="I234" s="348"/>
      <c r="J234" s="348"/>
      <c r="K234" s="348"/>
      <c r="L234" s="302" t="s">
        <v>2420</v>
      </c>
      <c r="M234" s="261"/>
      <c r="N234" s="368" t="s">
        <v>46</v>
      </c>
      <c r="O234" s="369"/>
      <c r="P234" s="309">
        <f ca="1">OFFSET($A$1,$AZ234-1,$AY234-1)</f>
        <v>0.6</v>
      </c>
      <c r="Q234" s="310"/>
      <c r="R234" s="311" t="str">
        <f ca="1">OFFSET($A$1,$BA234-1,$AY234-1)</f>
        <v>D</v>
      </c>
      <c r="S234" s="312">
        <f ca="1">OFFSET($A$1,$BB234-1,$AY234-1)</f>
        <v>0.18</v>
      </c>
      <c r="T234" s="313"/>
      <c r="U234" s="314">
        <f ca="1">IFERROR(S234/P234,0)</f>
        <v>0.3</v>
      </c>
      <c r="V234" s="315"/>
      <c r="W234" s="316">
        <f ca="1">IF(P234&gt;0,IFERROR((1+P235*(1/(1+P236/P237*P234)^2-1)),1),"")</f>
        <v>1</v>
      </c>
      <c r="X234" s="317"/>
      <c r="Y234" s="318"/>
      <c r="Z234" s="319">
        <f ca="1">IFERROR(ABS(W234*S234),"")</f>
        <v>0.18</v>
      </c>
      <c r="AA234" s="320"/>
      <c r="AB234" s="321"/>
      <c r="AC234" s="322">
        <f ca="1">IFERROR(Z234/P239,"")</f>
        <v>0.3</v>
      </c>
      <c r="AD234" s="323"/>
      <c r="AE234" s="385">
        <f ca="1">IFERROR(AL234/AL239,"")</f>
        <v>1</v>
      </c>
      <c r="AF234" s="386"/>
      <c r="AG234" s="339"/>
      <c r="AH234" s="241"/>
      <c r="AI234" s="262"/>
      <c r="AJ234" s="262"/>
      <c r="AK234" s="262"/>
      <c r="AL234" s="263">
        <f ca="1">IFERROR(Z234^2,0)</f>
        <v>3.2399999999999998E-2</v>
      </c>
      <c r="AM234" s="264"/>
      <c r="AN234" s="255"/>
      <c r="AO234" s="240"/>
      <c r="AP234" s="262"/>
      <c r="AY234" s="299">
        <f>AY233</f>
        <v>42</v>
      </c>
      <c r="AZ234" s="299">
        <f t="shared" ref="AZ234" si="29">AZ224+1</f>
        <v>33</v>
      </c>
      <c r="BA234" s="299">
        <f t="shared" si="28"/>
        <v>93</v>
      </c>
      <c r="BB234" s="299">
        <f t="shared" si="28"/>
        <v>141</v>
      </c>
    </row>
    <row r="235" spans="1:54" s="256" customFormat="1" ht="11.4" customHeight="1">
      <c r="A235" s="240"/>
      <c r="B235" s="341"/>
      <c r="C235" s="346"/>
      <c r="D235" s="348" t="s">
        <v>2415</v>
      </c>
      <c r="E235" s="348"/>
      <c r="F235" s="348"/>
      <c r="G235" s="348"/>
      <c r="H235" s="348"/>
      <c r="I235" s="348"/>
      <c r="J235" s="348"/>
      <c r="K235" s="348"/>
      <c r="L235" s="302" t="s">
        <v>2421</v>
      </c>
      <c r="M235" s="261"/>
      <c r="N235" s="368" t="s">
        <v>1266</v>
      </c>
      <c r="O235" s="369"/>
      <c r="P235" s="309">
        <f t="shared" ref="P235:P237" ca="1" si="30">OFFSET($A$1,$AZ235-1,$AY235-1)</f>
        <v>0</v>
      </c>
      <c r="Q235" s="310"/>
      <c r="R235" s="311" t="str">
        <f t="shared" ref="R235:R237" ca="1" si="31">OFFSET($A$1,$BA235-1,$AY235-1)</f>
        <v>E</v>
      </c>
      <c r="S235" s="312">
        <f t="shared" ref="S235:S237" ca="1" si="32">OFFSET($A$1,$BB235-1,$AY235-1)</f>
        <v>0</v>
      </c>
      <c r="T235" s="313"/>
      <c r="U235" s="314">
        <f ca="1">IFERROR(S235/P235,0)</f>
        <v>0</v>
      </c>
      <c r="V235" s="315"/>
      <c r="W235" s="316" t="str">
        <f ca="1">IFERROR((-P234+1/(1/P234+P236/P237)),"")</f>
        <v/>
      </c>
      <c r="X235" s="317"/>
      <c r="Y235" s="318"/>
      <c r="Z235" s="319" t="str">
        <f t="shared" ref="Z235:Z237" ca="1" si="33">IFERROR(ABS(W235*S235),"")</f>
        <v/>
      </c>
      <c r="AA235" s="320"/>
      <c r="AB235" s="321"/>
      <c r="AC235" s="322" t="str">
        <f ca="1">IFERROR(Z235/P239,"")</f>
        <v/>
      </c>
      <c r="AD235" s="323"/>
      <c r="AE235" s="385">
        <f ca="1">IFERROR(AL235/AL239,"")</f>
        <v>0</v>
      </c>
      <c r="AF235" s="386"/>
      <c r="AG235" s="339"/>
      <c r="AH235" s="241"/>
      <c r="AI235" s="262"/>
      <c r="AJ235" s="262"/>
      <c r="AK235" s="262"/>
      <c r="AL235" s="263">
        <f t="shared" ref="AL235:AL237" ca="1" si="34">IFERROR(Z235^2,0)</f>
        <v>0</v>
      </c>
      <c r="AM235" s="264"/>
      <c r="AN235" s="255"/>
      <c r="AO235" s="240"/>
      <c r="AP235" s="262"/>
      <c r="AY235" s="299">
        <f>AY234</f>
        <v>42</v>
      </c>
      <c r="AZ235" s="299">
        <f t="shared" ref="AZ235:BB235" si="35">AZ225+1</f>
        <v>45</v>
      </c>
      <c r="BA235" s="299">
        <f t="shared" si="35"/>
        <v>105</v>
      </c>
      <c r="BB235" s="299">
        <f t="shared" si="35"/>
        <v>153</v>
      </c>
    </row>
    <row r="236" spans="1:54" s="256" customFormat="1" ht="11.4" customHeight="1">
      <c r="A236" s="240"/>
      <c r="B236" s="341"/>
      <c r="C236" s="346"/>
      <c r="D236" s="348" t="s">
        <v>175</v>
      </c>
      <c r="E236" s="348"/>
      <c r="F236" s="348"/>
      <c r="G236" s="348"/>
      <c r="H236" s="348"/>
      <c r="I236" s="348"/>
      <c r="J236" s="348"/>
      <c r="K236" s="348"/>
      <c r="L236" s="302" t="s">
        <v>2422</v>
      </c>
      <c r="M236" s="261"/>
      <c r="N236" s="368" t="s">
        <v>2416</v>
      </c>
      <c r="O236" s="369"/>
      <c r="P236" s="309">
        <f t="shared" ca="1" si="30"/>
        <v>0</v>
      </c>
      <c r="Q236" s="324"/>
      <c r="R236" s="311" t="str">
        <f t="shared" ca="1" si="31"/>
        <v>E</v>
      </c>
      <c r="S236" s="312">
        <f t="shared" ca="1" si="32"/>
        <v>0</v>
      </c>
      <c r="T236" s="313"/>
      <c r="U236" s="314">
        <f ca="1">IFERROR(S236/P236,0)</f>
        <v>0</v>
      </c>
      <c r="V236" s="315"/>
      <c r="W236" s="316" t="str">
        <f ca="1">IFERROR(-P235*P237/(P237/P234+P236)^2,"")</f>
        <v/>
      </c>
      <c r="X236" s="317"/>
      <c r="Y236" s="318"/>
      <c r="Z236" s="319" t="str">
        <f t="shared" ca="1" si="33"/>
        <v/>
      </c>
      <c r="AA236" s="320"/>
      <c r="AB236" s="321"/>
      <c r="AC236" s="322" t="str">
        <f ca="1">IFERROR(Z236/P239,"")</f>
        <v/>
      </c>
      <c r="AD236" s="323"/>
      <c r="AE236" s="385">
        <f ca="1">IFERROR(AL236/AL239,"")</f>
        <v>0</v>
      </c>
      <c r="AF236" s="387"/>
      <c r="AG236" s="339"/>
      <c r="AH236" s="241"/>
      <c r="AI236" s="262"/>
      <c r="AJ236" s="262"/>
      <c r="AK236" s="262"/>
      <c r="AL236" s="263">
        <f t="shared" ca="1" si="34"/>
        <v>0</v>
      </c>
      <c r="AM236" s="264"/>
      <c r="AN236" s="255"/>
      <c r="AO236" s="240"/>
      <c r="AP236" s="262"/>
      <c r="AY236" s="299">
        <f t="shared" ref="AY236:AY239" si="36">COLUMN($AP$32)</f>
        <v>42</v>
      </c>
      <c r="AZ236" s="299">
        <f t="shared" ref="AZ236:BB236" si="37">AZ226+1</f>
        <v>57</v>
      </c>
      <c r="BA236" s="299">
        <f t="shared" si="37"/>
        <v>117</v>
      </c>
      <c r="BB236" s="299">
        <f t="shared" si="37"/>
        <v>165</v>
      </c>
    </row>
    <row r="237" spans="1:54" s="256" customFormat="1" ht="11.4" customHeight="1">
      <c r="A237" s="240"/>
      <c r="B237" s="341"/>
      <c r="C237" s="346"/>
      <c r="D237" s="348" t="s">
        <v>2417</v>
      </c>
      <c r="E237" s="348"/>
      <c r="F237" s="348"/>
      <c r="G237" s="348"/>
      <c r="H237" s="348"/>
      <c r="I237" s="348"/>
      <c r="J237" s="348"/>
      <c r="K237" s="348"/>
      <c r="L237" s="302" t="s">
        <v>2423</v>
      </c>
      <c r="M237" s="261"/>
      <c r="N237" s="368" t="s">
        <v>45</v>
      </c>
      <c r="O237" s="369"/>
      <c r="P237" s="325">
        <f t="shared" ca="1" si="30"/>
        <v>0</v>
      </c>
      <c r="Q237" s="324"/>
      <c r="R237" s="311" t="str">
        <f t="shared" ca="1" si="31"/>
        <v>E</v>
      </c>
      <c r="S237" s="326">
        <f t="shared" ca="1" si="32"/>
        <v>0</v>
      </c>
      <c r="T237" s="327"/>
      <c r="U237" s="314">
        <f ca="1">IFERROR(S237/P237,0)</f>
        <v>0</v>
      </c>
      <c r="V237" s="315"/>
      <c r="W237" s="316" t="str">
        <f ca="1">IFERROR(P235*P236/(P237/P234+P236)^2,"")</f>
        <v/>
      </c>
      <c r="X237" s="317"/>
      <c r="Y237" s="318"/>
      <c r="Z237" s="319" t="str">
        <f t="shared" ca="1" si="33"/>
        <v/>
      </c>
      <c r="AA237" s="320"/>
      <c r="AB237" s="321"/>
      <c r="AC237" s="322" t="str">
        <f ca="1">IFERROR(Z237/P239,"")</f>
        <v/>
      </c>
      <c r="AD237" s="323"/>
      <c r="AE237" s="385">
        <f ca="1">IFERROR(AL237/AL239,"")</f>
        <v>0</v>
      </c>
      <c r="AF237" s="387"/>
      <c r="AG237" s="339"/>
      <c r="AH237" s="241"/>
      <c r="AI237" s="262"/>
      <c r="AJ237" s="262"/>
      <c r="AK237" s="262"/>
      <c r="AL237" s="263">
        <f t="shared" ca="1" si="34"/>
        <v>0</v>
      </c>
      <c r="AM237" s="264"/>
      <c r="AN237" s="255"/>
      <c r="AO237" s="240"/>
      <c r="AP237" s="262"/>
      <c r="AY237" s="299">
        <f t="shared" si="36"/>
        <v>42</v>
      </c>
      <c r="AZ237" s="299">
        <f t="shared" ref="AZ237:BB237" si="38">AZ227+1</f>
        <v>69</v>
      </c>
      <c r="BA237" s="299">
        <f t="shared" si="38"/>
        <v>129</v>
      </c>
      <c r="BB237" s="299">
        <f t="shared" si="38"/>
        <v>177</v>
      </c>
    </row>
    <row r="238" spans="1:54" s="256" customFormat="1" ht="11.4" customHeight="1">
      <c r="A238" s="240"/>
      <c r="B238" s="341"/>
      <c r="C238" s="347"/>
      <c r="D238" s="348"/>
      <c r="E238" s="370" t="s">
        <v>2424</v>
      </c>
      <c r="F238" s="371"/>
      <c r="G238" s="371"/>
      <c r="H238" s="349"/>
      <c r="I238" s="372"/>
      <c r="J238" s="371"/>
      <c r="K238" s="371"/>
      <c r="L238" s="373"/>
      <c r="M238" s="374"/>
      <c r="N238" s="375" t="s">
        <v>46</v>
      </c>
      <c r="O238" s="376"/>
      <c r="P238" s="392" t="str">
        <f ca="1">IFERROR(1/(1/P234+P236/P237),"")</f>
        <v/>
      </c>
      <c r="Q238" s="393"/>
      <c r="R238" s="355"/>
      <c r="S238" s="355"/>
      <c r="T238" s="356"/>
      <c r="U238" s="355"/>
      <c r="V238" s="357"/>
      <c r="W238" s="355"/>
      <c r="X238" s="357"/>
      <c r="Y238" s="357"/>
      <c r="Z238" s="354" t="s">
        <v>2411</v>
      </c>
      <c r="AA238" s="358"/>
      <c r="AB238" s="358"/>
      <c r="AC238" s="359"/>
      <c r="AD238" s="358"/>
      <c r="AE238" s="388"/>
      <c r="AF238" s="389"/>
      <c r="AG238" s="339"/>
      <c r="AH238" s="241"/>
      <c r="AI238" s="240"/>
      <c r="AJ238" s="240"/>
      <c r="AK238" s="240"/>
      <c r="AL238" s="265"/>
      <c r="AM238" s="265"/>
      <c r="AN238" s="255"/>
      <c r="AO238" s="240"/>
      <c r="AU238" s="406" t="s">
        <v>2419</v>
      </c>
      <c r="AW238" s="301"/>
    </row>
    <row r="239" spans="1:54" s="256" customFormat="1" ht="11.4" customHeight="1">
      <c r="A239" s="240"/>
      <c r="B239" s="341"/>
      <c r="C239" s="367" t="s">
        <v>2425</v>
      </c>
      <c r="D239" s="348"/>
      <c r="E239" s="348"/>
      <c r="F239" s="348"/>
      <c r="G239" s="348"/>
      <c r="H239" s="349"/>
      <c r="I239" s="350"/>
      <c r="J239" s="348"/>
      <c r="K239" s="348"/>
      <c r="L239" s="360"/>
      <c r="M239" s="361"/>
      <c r="N239" s="368" t="s">
        <v>46</v>
      </c>
      <c r="O239" s="369"/>
      <c r="P239" s="328">
        <f ca="1">IFERROR((1-P235)*P234+P235*1/(1/P234+P236/P237),P234)</f>
        <v>0.6</v>
      </c>
      <c r="Q239" s="329"/>
      <c r="R239" s="362"/>
      <c r="S239" s="362"/>
      <c r="T239" s="363"/>
      <c r="U239" s="362"/>
      <c r="V239" s="364"/>
      <c r="W239" s="362"/>
      <c r="X239" s="364"/>
      <c r="Y239" s="364"/>
      <c r="Z239" s="330">
        <f ca="1">IF(P234&gt;0,IFERROR(SQRT(SUMPRODUCT(Z234:Z237,Z234:Z237)),""),"")</f>
        <v>0.18</v>
      </c>
      <c r="AA239" s="331"/>
      <c r="AB239" s="332"/>
      <c r="AC239" s="322">
        <f ca="1">IFERROR(Z239/P239,"")</f>
        <v>0.3</v>
      </c>
      <c r="AD239" s="323"/>
      <c r="AE239" s="390">
        <f ca="1">IFERROR(AL239/AL239,"")</f>
        <v>1</v>
      </c>
      <c r="AF239" s="391"/>
      <c r="AG239" s="341"/>
      <c r="AH239" s="241"/>
      <c r="AI239" s="262"/>
      <c r="AJ239" s="262"/>
      <c r="AK239" s="262"/>
      <c r="AL239" s="263">
        <f ca="1">SUM(AL234:AL237)</f>
        <v>3.2399999999999998E-2</v>
      </c>
      <c r="AM239" s="264"/>
      <c r="AN239" s="255"/>
      <c r="AO239" s="240"/>
      <c r="AP239" s="260"/>
      <c r="AU239" s="403">
        <f ca="1">OFFSET($A$1,$BA239-1,$AY239-1)</f>
        <v>0.6</v>
      </c>
      <c r="AV239" s="404"/>
      <c r="AW239" s="405">
        <f ca="1">OFFSET($A$1,$BB239-1,$AY239-1)</f>
        <v>0.18</v>
      </c>
      <c r="AX239" s="404"/>
      <c r="AY239" s="299">
        <f t="shared" si="36"/>
        <v>42</v>
      </c>
      <c r="BA239" s="299">
        <f>BA229+1</f>
        <v>81</v>
      </c>
      <c r="BB239" s="299">
        <f>BB229+1</f>
        <v>189</v>
      </c>
    </row>
    <row r="240" spans="1:54" s="256" customFormat="1" ht="6" customHeight="1">
      <c r="A240" s="240"/>
      <c r="B240" s="341"/>
      <c r="C240" s="377"/>
      <c r="D240" s="378"/>
      <c r="E240" s="378"/>
      <c r="F240" s="378"/>
      <c r="G240" s="378"/>
      <c r="H240" s="378"/>
      <c r="I240" s="378"/>
      <c r="J240" s="378"/>
      <c r="K240" s="378"/>
      <c r="L240" s="379"/>
      <c r="M240" s="380"/>
      <c r="N240" s="379"/>
      <c r="O240" s="380"/>
      <c r="P240" s="379"/>
      <c r="Q240" s="381"/>
      <c r="R240" s="382"/>
      <c r="S240" s="382"/>
      <c r="T240" s="383"/>
      <c r="U240" s="382"/>
      <c r="V240" s="378"/>
      <c r="W240" s="382"/>
      <c r="X240" s="378"/>
      <c r="Y240" s="378"/>
      <c r="Z240" s="382"/>
      <c r="AA240" s="378"/>
      <c r="AB240" s="378"/>
      <c r="AC240" s="382"/>
      <c r="AD240" s="378"/>
      <c r="AE240" s="382"/>
      <c r="AF240" s="384"/>
      <c r="AG240" s="339"/>
      <c r="AH240" s="241"/>
      <c r="AI240" s="240"/>
      <c r="AJ240" s="240"/>
      <c r="AK240" s="240"/>
      <c r="AL240" s="240"/>
      <c r="AM240" s="240"/>
      <c r="AN240" s="255"/>
      <c r="AO240" s="240"/>
      <c r="AP240" s="260"/>
    </row>
    <row r="241" spans="1:54" s="256" customFormat="1" ht="6" customHeight="1">
      <c r="A241" s="240"/>
      <c r="B241" s="341"/>
      <c r="C241" s="400"/>
      <c r="D241" s="400"/>
      <c r="E241" s="400"/>
      <c r="F241" s="400"/>
      <c r="G241" s="400"/>
      <c r="H241" s="400"/>
      <c r="I241" s="400"/>
      <c r="J241" s="400"/>
      <c r="K241" s="400"/>
      <c r="L241" s="401"/>
      <c r="M241" s="400"/>
      <c r="N241" s="401"/>
      <c r="O241" s="400"/>
      <c r="P241" s="401"/>
      <c r="Q241" s="402"/>
      <c r="R241" s="401"/>
      <c r="S241" s="401"/>
      <c r="T241" s="402"/>
      <c r="U241" s="401"/>
      <c r="V241" s="400"/>
      <c r="W241" s="401"/>
      <c r="X241" s="400"/>
      <c r="Y241" s="400"/>
      <c r="Z241" s="401"/>
      <c r="AA241" s="400"/>
      <c r="AB241" s="400"/>
      <c r="AC241" s="401"/>
      <c r="AD241" s="400"/>
      <c r="AE241" s="401"/>
      <c r="AF241" s="402"/>
      <c r="AG241" s="339"/>
      <c r="AH241" s="241"/>
      <c r="AI241" s="240"/>
      <c r="AJ241" s="240"/>
      <c r="AK241" s="240"/>
      <c r="AL241" s="240"/>
      <c r="AM241" s="240"/>
      <c r="AN241" s="255"/>
      <c r="AO241" s="240"/>
      <c r="AP241" s="260"/>
    </row>
    <row r="242" spans="1:54" s="256" customFormat="1" ht="11.4" customHeight="1">
      <c r="A242" s="240"/>
      <c r="B242" s="341"/>
      <c r="C242" s="394" t="str">
        <f t="shared" ref="C242" ca="1" si="39">OFFSET($A$1,$AZ243-1,$AY243-1)</f>
        <v>C.A.003</v>
      </c>
      <c r="D242" s="365"/>
      <c r="E242" s="365"/>
      <c r="F242" s="365"/>
      <c r="G242" s="365"/>
      <c r="H242" s="365"/>
      <c r="I242" s="365"/>
      <c r="J242" s="365"/>
      <c r="K242" s="366"/>
      <c r="L242" s="395" t="str">
        <f t="shared" ref="L242" ca="1" si="40">OFFSET($A$1,$BA243-1,$AY243-1)</f>
        <v>Building from 2000, original | no insulation upgrade</v>
      </c>
      <c r="M242" s="396"/>
      <c r="N242" s="396"/>
      <c r="O242" s="396"/>
      <c r="P242" s="396"/>
      <c r="Q242" s="396"/>
      <c r="R242" s="397"/>
      <c r="S242" s="397"/>
      <c r="T242" s="398"/>
      <c r="U242" s="396"/>
      <c r="V242" s="396"/>
      <c r="W242" s="396"/>
      <c r="X242" s="396"/>
      <c r="Y242" s="396"/>
      <c r="Z242" s="396"/>
      <c r="AA242" s="396"/>
      <c r="AB242" s="396"/>
      <c r="AC242" s="396"/>
      <c r="AD242" s="396"/>
      <c r="AE242" s="396"/>
      <c r="AF242" s="399"/>
      <c r="AG242" s="339"/>
      <c r="AH242" s="241"/>
      <c r="AI242" s="240"/>
      <c r="AJ242" s="240"/>
      <c r="AK242" s="240"/>
      <c r="AL242" s="240"/>
      <c r="AM242" s="240"/>
      <c r="AN242" s="255"/>
      <c r="AO242" s="240"/>
      <c r="AP242" s="260"/>
    </row>
    <row r="243" spans="1:54" s="256" customFormat="1" ht="11.4" customHeight="1">
      <c r="A243" s="240"/>
      <c r="B243" s="341"/>
      <c r="C243" s="333"/>
      <c r="D243" s="334"/>
      <c r="E243" s="334"/>
      <c r="F243" s="334"/>
      <c r="G243" s="334"/>
      <c r="H243" s="334"/>
      <c r="I243" s="334"/>
      <c r="J243" s="334"/>
      <c r="K243" s="335"/>
      <c r="L243" s="343"/>
      <c r="M243" s="348"/>
      <c r="N243" s="343"/>
      <c r="O243" s="348"/>
      <c r="P243" s="343"/>
      <c r="Q243" s="348"/>
      <c r="R243" s="343"/>
      <c r="S243" s="343"/>
      <c r="T243" s="351"/>
      <c r="U243" s="343"/>
      <c r="V243" s="348"/>
      <c r="W243" s="343"/>
      <c r="X243" s="348"/>
      <c r="Y243" s="348"/>
      <c r="Z243" s="343"/>
      <c r="AA243" s="348"/>
      <c r="AB243" s="352" t="s">
        <v>46</v>
      </c>
      <c r="AC243" s="343"/>
      <c r="AD243" s="353"/>
      <c r="AE243" s="343"/>
      <c r="AF243" s="344"/>
      <c r="AG243" s="339"/>
      <c r="AH243" s="241"/>
      <c r="AI243" s="240"/>
      <c r="AJ243" s="240"/>
      <c r="AK243" s="240"/>
      <c r="AL243" s="240"/>
      <c r="AM243" s="240"/>
      <c r="AN243" s="255"/>
      <c r="AO243" s="240"/>
      <c r="AP243" s="260"/>
      <c r="AY243" s="299">
        <f t="shared" ref="AY243" si="41">AY233</f>
        <v>42</v>
      </c>
      <c r="AZ243" s="300">
        <f t="shared" ref="AZ243:BA243" si="42">AZ233+1</f>
        <v>10</v>
      </c>
      <c r="BA243" s="300">
        <f t="shared" si="42"/>
        <v>22</v>
      </c>
    </row>
    <row r="244" spans="1:54" s="256" customFormat="1" ht="11.4" customHeight="1">
      <c r="A244" s="240"/>
      <c r="B244" s="341"/>
      <c r="C244" s="346"/>
      <c r="D244" s="348" t="s">
        <v>2414</v>
      </c>
      <c r="E244" s="348"/>
      <c r="F244" s="348"/>
      <c r="G244" s="348"/>
      <c r="H244" s="348"/>
      <c r="I244" s="348"/>
      <c r="J244" s="348"/>
      <c r="K244" s="348"/>
      <c r="L244" s="302" t="s">
        <v>2420</v>
      </c>
      <c r="M244" s="261"/>
      <c r="N244" s="368" t="s">
        <v>46</v>
      </c>
      <c r="O244" s="369"/>
      <c r="P244" s="309">
        <f t="shared" ref="P244:P317" ca="1" si="43">OFFSET($A$1,$AZ244-1,$AY244-1)</f>
        <v>0.25</v>
      </c>
      <c r="Q244" s="310"/>
      <c r="R244" s="311" t="str">
        <f t="shared" ref="R244:R317" ca="1" si="44">OFFSET($A$1,$BA244-1,$AY244-1)</f>
        <v>B</v>
      </c>
      <c r="S244" s="312">
        <f t="shared" ref="S244:S317" ca="1" si="45">OFFSET($A$1,$BB244-1,$AY244-1)</f>
        <v>0.05</v>
      </c>
      <c r="T244" s="313"/>
      <c r="U244" s="314">
        <f t="shared" ref="U244:U247" ca="1" si="46">IFERROR(S244/P244,0)</f>
        <v>0.2</v>
      </c>
      <c r="V244" s="315"/>
      <c r="W244" s="316">
        <f t="shared" ref="W244" ca="1" si="47">IF(P244&gt;0,IFERROR((1+P245*(1/(1+P246/P247*P244)^2-1)),1),"")</f>
        <v>1</v>
      </c>
      <c r="X244" s="317"/>
      <c r="Y244" s="318"/>
      <c r="Z244" s="319">
        <f t="shared" ref="Z244:Z247" ca="1" si="48">IFERROR(ABS(W244*S244),"")</f>
        <v>0.05</v>
      </c>
      <c r="AA244" s="320"/>
      <c r="AB244" s="321"/>
      <c r="AC244" s="322">
        <f t="shared" ref="AC244" ca="1" si="49">IFERROR(Z244/P249,"")</f>
        <v>0.2</v>
      </c>
      <c r="AD244" s="323"/>
      <c r="AE244" s="385">
        <f t="shared" ref="AE244" ca="1" si="50">IFERROR(AL244/AL249,"")</f>
        <v>1</v>
      </c>
      <c r="AF244" s="386"/>
      <c r="AG244" s="339"/>
      <c r="AH244" s="241"/>
      <c r="AI244" s="262"/>
      <c r="AJ244" s="262"/>
      <c r="AK244" s="262"/>
      <c r="AL244" s="263">
        <f t="shared" ref="AL244:AL247" ca="1" si="51">IFERROR(Z244^2,0)</f>
        <v>2.5000000000000005E-3</v>
      </c>
      <c r="AM244" s="264"/>
      <c r="AN244" s="255"/>
      <c r="AO244" s="240"/>
      <c r="AP244" s="262"/>
      <c r="AY244" s="299">
        <f t="shared" ref="AY244:AY245" si="52">AY243</f>
        <v>42</v>
      </c>
      <c r="AZ244" s="299">
        <f t="shared" ref="AZ244:BB244" si="53">AZ234+1</f>
        <v>34</v>
      </c>
      <c r="BA244" s="299">
        <f t="shared" si="53"/>
        <v>94</v>
      </c>
      <c r="BB244" s="299">
        <f t="shared" si="53"/>
        <v>142</v>
      </c>
    </row>
    <row r="245" spans="1:54" s="256" customFormat="1" ht="11.4" customHeight="1">
      <c r="A245" s="240"/>
      <c r="B245" s="341"/>
      <c r="C245" s="346"/>
      <c r="D245" s="348" t="s">
        <v>2415</v>
      </c>
      <c r="E245" s="348"/>
      <c r="F245" s="348"/>
      <c r="G245" s="348"/>
      <c r="H245" s="348"/>
      <c r="I245" s="348"/>
      <c r="J245" s="348"/>
      <c r="K245" s="348"/>
      <c r="L245" s="302" t="s">
        <v>2421</v>
      </c>
      <c r="M245" s="261"/>
      <c r="N245" s="368" t="s">
        <v>1266</v>
      </c>
      <c r="O245" s="369"/>
      <c r="P245" s="309">
        <f t="shared" ca="1" si="43"/>
        <v>0</v>
      </c>
      <c r="Q245" s="310"/>
      <c r="R245" s="311" t="str">
        <f t="shared" ca="1" si="44"/>
        <v>E</v>
      </c>
      <c r="S245" s="312">
        <f t="shared" ca="1" si="45"/>
        <v>0</v>
      </c>
      <c r="T245" s="313"/>
      <c r="U245" s="314">
        <f t="shared" ca="1" si="46"/>
        <v>0</v>
      </c>
      <c r="V245" s="315"/>
      <c r="W245" s="316" t="str">
        <f t="shared" ref="W245" ca="1" si="54">IFERROR((-P244+1/(1/P244+P246/P247)),"")</f>
        <v/>
      </c>
      <c r="X245" s="317"/>
      <c r="Y245" s="318"/>
      <c r="Z245" s="319" t="str">
        <f t="shared" ca="1" si="48"/>
        <v/>
      </c>
      <c r="AA245" s="320"/>
      <c r="AB245" s="321"/>
      <c r="AC245" s="322" t="str">
        <f t="shared" ref="AC245" ca="1" si="55">IFERROR(Z245/P249,"")</f>
        <v/>
      </c>
      <c r="AD245" s="323"/>
      <c r="AE245" s="385">
        <f t="shared" ref="AE245" ca="1" si="56">IFERROR(AL245/AL249,"")</f>
        <v>0</v>
      </c>
      <c r="AF245" s="386"/>
      <c r="AG245" s="339"/>
      <c r="AH245" s="241"/>
      <c r="AI245" s="262"/>
      <c r="AJ245" s="262"/>
      <c r="AK245" s="262"/>
      <c r="AL245" s="263">
        <f t="shared" ca="1" si="51"/>
        <v>0</v>
      </c>
      <c r="AM245" s="264"/>
      <c r="AN245" s="255"/>
      <c r="AO245" s="240"/>
      <c r="AP245" s="262"/>
      <c r="AY245" s="299">
        <f t="shared" si="52"/>
        <v>42</v>
      </c>
      <c r="AZ245" s="299">
        <f t="shared" ref="AZ245:BB245" si="57">AZ235+1</f>
        <v>46</v>
      </c>
      <c r="BA245" s="299">
        <f t="shared" si="57"/>
        <v>106</v>
      </c>
      <c r="BB245" s="299">
        <f t="shared" si="57"/>
        <v>154</v>
      </c>
    </row>
    <row r="246" spans="1:54" s="256" customFormat="1" ht="11.4" customHeight="1">
      <c r="A246" s="240"/>
      <c r="B246" s="341"/>
      <c r="C246" s="346"/>
      <c r="D246" s="348" t="s">
        <v>175</v>
      </c>
      <c r="E246" s="348"/>
      <c r="F246" s="348"/>
      <c r="G246" s="348"/>
      <c r="H246" s="348"/>
      <c r="I246" s="348"/>
      <c r="J246" s="348"/>
      <c r="K246" s="348"/>
      <c r="L246" s="302" t="s">
        <v>2422</v>
      </c>
      <c r="M246" s="261"/>
      <c r="N246" s="368" t="s">
        <v>2416</v>
      </c>
      <c r="O246" s="369"/>
      <c r="P246" s="309">
        <f t="shared" ca="1" si="43"/>
        <v>0</v>
      </c>
      <c r="Q246" s="324"/>
      <c r="R246" s="311" t="str">
        <f t="shared" ca="1" si="44"/>
        <v>E</v>
      </c>
      <c r="S246" s="312">
        <f t="shared" ca="1" si="45"/>
        <v>0</v>
      </c>
      <c r="T246" s="313"/>
      <c r="U246" s="314">
        <f t="shared" ca="1" si="46"/>
        <v>0</v>
      </c>
      <c r="V246" s="315"/>
      <c r="W246" s="316" t="str">
        <f t="shared" ref="W246" ca="1" si="58">IFERROR(-P245*P247/(P247/P244+P246)^2,"")</f>
        <v/>
      </c>
      <c r="X246" s="317"/>
      <c r="Y246" s="318"/>
      <c r="Z246" s="319" t="str">
        <f t="shared" ca="1" si="48"/>
        <v/>
      </c>
      <c r="AA246" s="320"/>
      <c r="AB246" s="321"/>
      <c r="AC246" s="322" t="str">
        <f t="shared" ref="AC246" ca="1" si="59">IFERROR(Z246/P249,"")</f>
        <v/>
      </c>
      <c r="AD246" s="323"/>
      <c r="AE246" s="385">
        <f t="shared" ref="AE246" ca="1" si="60">IFERROR(AL246/AL249,"")</f>
        <v>0</v>
      </c>
      <c r="AF246" s="387"/>
      <c r="AG246" s="339"/>
      <c r="AH246" s="241"/>
      <c r="AI246" s="262"/>
      <c r="AJ246" s="262"/>
      <c r="AK246" s="262"/>
      <c r="AL246" s="263">
        <f t="shared" ca="1" si="51"/>
        <v>0</v>
      </c>
      <c r="AM246" s="264"/>
      <c r="AN246" s="255"/>
      <c r="AO246" s="240"/>
      <c r="AP246" s="262"/>
      <c r="AY246" s="299">
        <f t="shared" ref="AY246:AY319" si="61">COLUMN($AP$32)</f>
        <v>42</v>
      </c>
      <c r="AZ246" s="299">
        <f t="shared" ref="AZ246:BB246" si="62">AZ236+1</f>
        <v>58</v>
      </c>
      <c r="BA246" s="299">
        <f t="shared" si="62"/>
        <v>118</v>
      </c>
      <c r="BB246" s="299">
        <f t="shared" si="62"/>
        <v>166</v>
      </c>
    </row>
    <row r="247" spans="1:54" s="256" customFormat="1" ht="11.4" customHeight="1">
      <c r="A247" s="240"/>
      <c r="B247" s="341"/>
      <c r="C247" s="346"/>
      <c r="D247" s="348" t="s">
        <v>2417</v>
      </c>
      <c r="E247" s="348"/>
      <c r="F247" s="348"/>
      <c r="G247" s="348"/>
      <c r="H247" s="348"/>
      <c r="I247" s="348"/>
      <c r="J247" s="348"/>
      <c r="K247" s="348"/>
      <c r="L247" s="302" t="s">
        <v>2423</v>
      </c>
      <c r="M247" s="261"/>
      <c r="N247" s="368" t="s">
        <v>45</v>
      </c>
      <c r="O247" s="369"/>
      <c r="P247" s="325">
        <f t="shared" ca="1" si="43"/>
        <v>0</v>
      </c>
      <c r="Q247" s="324"/>
      <c r="R247" s="311" t="str">
        <f t="shared" ca="1" si="44"/>
        <v>E</v>
      </c>
      <c r="S247" s="326">
        <f t="shared" ca="1" si="45"/>
        <v>0</v>
      </c>
      <c r="T247" s="327"/>
      <c r="U247" s="314">
        <f t="shared" ca="1" si="46"/>
        <v>0</v>
      </c>
      <c r="V247" s="315"/>
      <c r="W247" s="316" t="str">
        <f t="shared" ref="W247" ca="1" si="63">IFERROR(P245*P246/(P247/P244+P246)^2,"")</f>
        <v/>
      </c>
      <c r="X247" s="317"/>
      <c r="Y247" s="318"/>
      <c r="Z247" s="319" t="str">
        <f t="shared" ca="1" si="48"/>
        <v/>
      </c>
      <c r="AA247" s="320"/>
      <c r="AB247" s="321"/>
      <c r="AC247" s="322" t="str">
        <f t="shared" ref="AC247" ca="1" si="64">IFERROR(Z247/P249,"")</f>
        <v/>
      </c>
      <c r="AD247" s="323"/>
      <c r="AE247" s="385">
        <f t="shared" ref="AE247" ca="1" si="65">IFERROR(AL247/AL249,"")</f>
        <v>0</v>
      </c>
      <c r="AF247" s="387"/>
      <c r="AG247" s="339"/>
      <c r="AH247" s="241"/>
      <c r="AI247" s="262"/>
      <c r="AJ247" s="262"/>
      <c r="AK247" s="262"/>
      <c r="AL247" s="263">
        <f t="shared" ca="1" si="51"/>
        <v>0</v>
      </c>
      <c r="AM247" s="264"/>
      <c r="AN247" s="255"/>
      <c r="AO247" s="240"/>
      <c r="AP247" s="262"/>
      <c r="AY247" s="299">
        <f t="shared" si="61"/>
        <v>42</v>
      </c>
      <c r="AZ247" s="299">
        <f t="shared" ref="AZ247:BB247" si="66">AZ237+1</f>
        <v>70</v>
      </c>
      <c r="BA247" s="299">
        <f t="shared" si="66"/>
        <v>130</v>
      </c>
      <c r="BB247" s="299">
        <f t="shared" si="66"/>
        <v>178</v>
      </c>
    </row>
    <row r="248" spans="1:54" s="256" customFormat="1" ht="11.4" customHeight="1">
      <c r="A248" s="240"/>
      <c r="B248" s="341"/>
      <c r="C248" s="347"/>
      <c r="D248" s="348"/>
      <c r="E248" s="370" t="s">
        <v>2424</v>
      </c>
      <c r="F248" s="371"/>
      <c r="G248" s="371"/>
      <c r="H248" s="349"/>
      <c r="I248" s="372"/>
      <c r="J248" s="371"/>
      <c r="K248" s="371"/>
      <c r="L248" s="373"/>
      <c r="M248" s="374"/>
      <c r="N248" s="375" t="s">
        <v>46</v>
      </c>
      <c r="O248" s="376"/>
      <c r="P248" s="392" t="str">
        <f t="shared" ref="P248" ca="1" si="67">IFERROR(1/(1/P244+P246/P247),"")</f>
        <v/>
      </c>
      <c r="Q248" s="393"/>
      <c r="R248" s="355"/>
      <c r="S248" s="355"/>
      <c r="T248" s="356"/>
      <c r="U248" s="355"/>
      <c r="V248" s="357"/>
      <c r="W248" s="355"/>
      <c r="X248" s="357"/>
      <c r="Y248" s="357"/>
      <c r="Z248" s="354" t="s">
        <v>2411</v>
      </c>
      <c r="AA248" s="358"/>
      <c r="AB248" s="358"/>
      <c r="AC248" s="359"/>
      <c r="AD248" s="358"/>
      <c r="AE248" s="388"/>
      <c r="AF248" s="389"/>
      <c r="AG248" s="339"/>
      <c r="AH248" s="241"/>
      <c r="AI248" s="240"/>
      <c r="AJ248" s="240"/>
      <c r="AK248" s="240"/>
      <c r="AL248" s="265"/>
      <c r="AM248" s="265"/>
      <c r="AN248" s="255"/>
      <c r="AO248" s="240"/>
      <c r="AU248" s="406" t="s">
        <v>2419</v>
      </c>
      <c r="AW248" s="301"/>
    </row>
    <row r="249" spans="1:54" s="256" customFormat="1" ht="11.4" customHeight="1">
      <c r="A249" s="240"/>
      <c r="B249" s="341"/>
      <c r="C249" s="367" t="s">
        <v>2425</v>
      </c>
      <c r="D249" s="348"/>
      <c r="E249" s="348"/>
      <c r="F249" s="348"/>
      <c r="G249" s="348"/>
      <c r="H249" s="349"/>
      <c r="I249" s="350"/>
      <c r="J249" s="348"/>
      <c r="K249" s="348"/>
      <c r="L249" s="360"/>
      <c r="M249" s="361"/>
      <c r="N249" s="368" t="s">
        <v>46</v>
      </c>
      <c r="O249" s="369"/>
      <c r="P249" s="328">
        <f t="shared" ref="P249" ca="1" si="68">IFERROR((1-P245)*P244+P245*1/(1/P244+P246/P247),P244)</f>
        <v>0.25</v>
      </c>
      <c r="Q249" s="329"/>
      <c r="R249" s="362"/>
      <c r="S249" s="362"/>
      <c r="T249" s="363"/>
      <c r="U249" s="362"/>
      <c r="V249" s="364"/>
      <c r="W249" s="362"/>
      <c r="X249" s="364"/>
      <c r="Y249" s="364"/>
      <c r="Z249" s="330">
        <f t="shared" ref="Z249" ca="1" si="69">IF(P244&gt;0,IFERROR(SQRT(SUMPRODUCT(Z244:Z247,Z244:Z247)),""),"")</f>
        <v>0.05</v>
      </c>
      <c r="AA249" s="331"/>
      <c r="AB249" s="332"/>
      <c r="AC249" s="322">
        <f t="shared" ref="AC249" ca="1" si="70">IFERROR(Z249/P249,"")</f>
        <v>0.2</v>
      </c>
      <c r="AD249" s="323"/>
      <c r="AE249" s="390">
        <f t="shared" ref="AE249" ca="1" si="71">IFERROR(AL249/AL249,"")</f>
        <v>1</v>
      </c>
      <c r="AF249" s="391"/>
      <c r="AG249" s="341"/>
      <c r="AH249" s="241"/>
      <c r="AI249" s="262"/>
      <c r="AJ249" s="262"/>
      <c r="AK249" s="262"/>
      <c r="AL249" s="263">
        <f t="shared" ref="AL249" ca="1" si="72">SUM(AL244:AL247)</f>
        <v>2.5000000000000005E-3</v>
      </c>
      <c r="AM249" s="264"/>
      <c r="AN249" s="255"/>
      <c r="AO249" s="240"/>
      <c r="AP249" s="260"/>
      <c r="AU249" s="403">
        <f t="shared" ref="AU249" ca="1" si="73">OFFSET($A$1,$BA249-1,$AY249-1)</f>
        <v>0.25</v>
      </c>
      <c r="AV249" s="404"/>
      <c r="AW249" s="405">
        <f t="shared" ref="AW249" ca="1" si="74">OFFSET($A$1,$BB249-1,$AY249-1)</f>
        <v>0.05</v>
      </c>
      <c r="AX249" s="404"/>
      <c r="AY249" s="299">
        <f t="shared" si="61"/>
        <v>42</v>
      </c>
      <c r="BA249" s="299">
        <f t="shared" ref="BA249:BB249" si="75">BA239+1</f>
        <v>82</v>
      </c>
      <c r="BB249" s="299">
        <f t="shared" si="75"/>
        <v>190</v>
      </c>
    </row>
    <row r="250" spans="1:54" s="256" customFormat="1" ht="6" customHeight="1">
      <c r="A250" s="240"/>
      <c r="B250" s="341"/>
      <c r="C250" s="377"/>
      <c r="D250" s="378"/>
      <c r="E250" s="378"/>
      <c r="F250" s="378"/>
      <c r="G250" s="378"/>
      <c r="H250" s="378"/>
      <c r="I250" s="378"/>
      <c r="J250" s="378"/>
      <c r="K250" s="378"/>
      <c r="L250" s="379"/>
      <c r="M250" s="380"/>
      <c r="N250" s="379"/>
      <c r="O250" s="380"/>
      <c r="P250" s="379"/>
      <c r="Q250" s="381"/>
      <c r="R250" s="382"/>
      <c r="S250" s="382"/>
      <c r="T250" s="383"/>
      <c r="U250" s="382"/>
      <c r="V250" s="378"/>
      <c r="W250" s="382"/>
      <c r="X250" s="378"/>
      <c r="Y250" s="378"/>
      <c r="Z250" s="382"/>
      <c r="AA250" s="378"/>
      <c r="AB250" s="378"/>
      <c r="AC250" s="382"/>
      <c r="AD250" s="378"/>
      <c r="AE250" s="382"/>
      <c r="AF250" s="384"/>
      <c r="AG250" s="339"/>
      <c r="AH250" s="241"/>
      <c r="AI250" s="240"/>
      <c r="AJ250" s="240"/>
      <c r="AK250" s="240"/>
      <c r="AL250" s="240"/>
      <c r="AM250" s="240"/>
      <c r="AN250" s="255"/>
      <c r="AO250" s="240"/>
      <c r="AP250" s="260"/>
    </row>
    <row r="251" spans="1:54" s="256" customFormat="1" ht="6" customHeight="1">
      <c r="A251" s="240"/>
      <c r="B251" s="341"/>
      <c r="C251" s="400"/>
      <c r="D251" s="400"/>
      <c r="E251" s="400"/>
      <c r="F251" s="400"/>
      <c r="G251" s="400"/>
      <c r="H251" s="400"/>
      <c r="I251" s="400"/>
      <c r="J251" s="400"/>
      <c r="K251" s="400"/>
      <c r="L251" s="401"/>
      <c r="M251" s="400"/>
      <c r="N251" s="401"/>
      <c r="O251" s="400"/>
      <c r="P251" s="401"/>
      <c r="Q251" s="402"/>
      <c r="R251" s="401"/>
      <c r="S251" s="401"/>
      <c r="T251" s="402"/>
      <c r="U251" s="401"/>
      <c r="V251" s="400"/>
      <c r="W251" s="401"/>
      <c r="X251" s="400"/>
      <c r="Y251" s="400"/>
      <c r="Z251" s="401"/>
      <c r="AA251" s="400"/>
      <c r="AB251" s="400"/>
      <c r="AC251" s="401"/>
      <c r="AD251" s="400"/>
      <c r="AE251" s="401"/>
      <c r="AF251" s="402"/>
      <c r="AG251" s="339"/>
      <c r="AH251" s="241"/>
      <c r="AI251" s="240"/>
      <c r="AJ251" s="240"/>
      <c r="AK251" s="240"/>
      <c r="AL251" s="240"/>
      <c r="AM251" s="240"/>
      <c r="AN251" s="255"/>
      <c r="AO251" s="240"/>
      <c r="AP251" s="260"/>
    </row>
    <row r="252" spans="1:54" s="256" customFormat="1" ht="11.4" customHeight="1">
      <c r="A252" s="240"/>
      <c r="B252" s="341"/>
      <c r="C252" s="394" t="str">
        <f t="shared" ref="C252" ca="1" si="76">OFFSET($A$1,$AZ253-1,$AY253-1)</f>
        <v>C.A.004</v>
      </c>
      <c r="D252" s="365"/>
      <c r="E252" s="365"/>
      <c r="F252" s="365"/>
      <c r="G252" s="365"/>
      <c r="H252" s="365"/>
      <c r="I252" s="365"/>
      <c r="J252" s="365"/>
      <c r="K252" s="366"/>
      <c r="L252" s="395" t="str">
        <f t="shared" ref="L252" ca="1" si="77">OFFSET($A$1,$BA253-1,$AY253-1)</f>
        <v>Building from 1960, insulation upgrade: d = 4 cm | f = 1.00 | Lambda = 0.045 | data from records</v>
      </c>
      <c r="M252" s="396"/>
      <c r="N252" s="396"/>
      <c r="O252" s="396"/>
      <c r="P252" s="396"/>
      <c r="Q252" s="396"/>
      <c r="R252" s="397"/>
      <c r="S252" s="397"/>
      <c r="T252" s="398"/>
      <c r="U252" s="396"/>
      <c r="V252" s="396"/>
      <c r="W252" s="396"/>
      <c r="X252" s="396"/>
      <c r="Y252" s="396"/>
      <c r="Z252" s="396"/>
      <c r="AA252" s="396"/>
      <c r="AB252" s="396"/>
      <c r="AC252" s="396"/>
      <c r="AD252" s="396"/>
      <c r="AE252" s="396"/>
      <c r="AF252" s="399"/>
      <c r="AG252" s="339"/>
      <c r="AH252" s="241"/>
      <c r="AI252" s="240"/>
      <c r="AJ252" s="240"/>
      <c r="AK252" s="240"/>
      <c r="AL252" s="240"/>
      <c r="AM252" s="240"/>
      <c r="AN252" s="255"/>
      <c r="AO252" s="240"/>
      <c r="AP252" s="260"/>
    </row>
    <row r="253" spans="1:54" s="256" customFormat="1" ht="11.4" customHeight="1">
      <c r="A253" s="240"/>
      <c r="B253" s="341"/>
      <c r="C253" s="333"/>
      <c r="D253" s="334"/>
      <c r="E253" s="334"/>
      <c r="F253" s="334"/>
      <c r="G253" s="334"/>
      <c r="H253" s="334"/>
      <c r="I253" s="334"/>
      <c r="J253" s="334"/>
      <c r="K253" s="335"/>
      <c r="L253" s="343"/>
      <c r="M253" s="348"/>
      <c r="N253" s="343"/>
      <c r="O253" s="348"/>
      <c r="P253" s="343"/>
      <c r="Q253" s="348"/>
      <c r="R253" s="343"/>
      <c r="S253" s="343"/>
      <c r="T253" s="351"/>
      <c r="U253" s="343"/>
      <c r="V253" s="348"/>
      <c r="W253" s="343"/>
      <c r="X253" s="348"/>
      <c r="Y253" s="348"/>
      <c r="Z253" s="343"/>
      <c r="AA253" s="348"/>
      <c r="AB253" s="352" t="s">
        <v>46</v>
      </c>
      <c r="AC253" s="343"/>
      <c r="AD253" s="353"/>
      <c r="AE253" s="343"/>
      <c r="AF253" s="344"/>
      <c r="AG253" s="339"/>
      <c r="AH253" s="241"/>
      <c r="AI253" s="240"/>
      <c r="AJ253" s="240"/>
      <c r="AK253" s="240"/>
      <c r="AL253" s="240"/>
      <c r="AM253" s="240"/>
      <c r="AN253" s="255"/>
      <c r="AO253" s="240"/>
      <c r="AP253" s="260"/>
      <c r="AY253" s="299">
        <f t="shared" ref="AY253" si="78">AY243</f>
        <v>42</v>
      </c>
      <c r="AZ253" s="300">
        <f t="shared" ref="AZ253:BA253" si="79">AZ243+1</f>
        <v>11</v>
      </c>
      <c r="BA253" s="300">
        <f t="shared" si="79"/>
        <v>23</v>
      </c>
    </row>
    <row r="254" spans="1:54" s="256" customFormat="1" ht="11.4" customHeight="1">
      <c r="A254" s="240"/>
      <c r="B254" s="341"/>
      <c r="C254" s="346"/>
      <c r="D254" s="348" t="s">
        <v>2414</v>
      </c>
      <c r="E254" s="348"/>
      <c r="F254" s="348"/>
      <c r="G254" s="348"/>
      <c r="H254" s="348"/>
      <c r="I254" s="348"/>
      <c r="J254" s="348"/>
      <c r="K254" s="348"/>
      <c r="L254" s="302" t="s">
        <v>2420</v>
      </c>
      <c r="M254" s="261"/>
      <c r="N254" s="368" t="s">
        <v>46</v>
      </c>
      <c r="O254" s="369"/>
      <c r="P254" s="309">
        <f t="shared" ref="P254" ca="1" si="80">OFFSET($A$1,$AZ254-1,$AY254-1)</f>
        <v>1.1000000000000001</v>
      </c>
      <c r="Q254" s="310"/>
      <c r="R254" s="311" t="str">
        <f t="shared" ref="R254" ca="1" si="81">OFFSET($A$1,$BA254-1,$AY254-1)</f>
        <v>D</v>
      </c>
      <c r="S254" s="312">
        <f t="shared" ref="S254" ca="1" si="82">OFFSET($A$1,$BB254-1,$AY254-1)</f>
        <v>0.33</v>
      </c>
      <c r="T254" s="313"/>
      <c r="U254" s="314">
        <f t="shared" ref="U254:U257" ca="1" si="83">IFERROR(S254/P254,0)</f>
        <v>0.3</v>
      </c>
      <c r="V254" s="315"/>
      <c r="W254" s="316">
        <f t="shared" ref="W254" ca="1" si="84">IF(P254&gt;0,IFERROR((1+P255*(1/(1+P256/P257*P254)^2-1)),1),"")</f>
        <v>0.25564953919959599</v>
      </c>
      <c r="X254" s="317"/>
      <c r="Y254" s="318"/>
      <c r="Z254" s="319">
        <f t="shared" ref="Z254:Z257" ca="1" si="85">IFERROR(ABS(W254*S254),"")</f>
        <v>8.4364347935866682E-2</v>
      </c>
      <c r="AA254" s="320"/>
      <c r="AB254" s="321"/>
      <c r="AC254" s="322">
        <f t="shared" ref="AC254" ca="1" si="86">IFERROR(Z254/P259,"")</f>
        <v>0.15168539325842695</v>
      </c>
      <c r="AD254" s="323"/>
      <c r="AE254" s="385">
        <f t="shared" ref="AE254" ca="1" si="87">IFERROR(AL254/AL259,"")</f>
        <v>0.52550387820420386</v>
      </c>
      <c r="AF254" s="386"/>
      <c r="AG254" s="339"/>
      <c r="AH254" s="241"/>
      <c r="AI254" s="262"/>
      <c r="AJ254" s="262"/>
      <c r="AK254" s="262"/>
      <c r="AL254" s="263">
        <f t="shared" ref="AL254:AL257" ca="1" si="88">IFERROR(Z254^2,0)</f>
        <v>7.1173432026439727E-3</v>
      </c>
      <c r="AM254" s="264"/>
      <c r="AN254" s="255"/>
      <c r="AO254" s="240"/>
      <c r="AP254" s="262"/>
      <c r="AY254" s="299">
        <f t="shared" ref="AY254:AY255" si="89">AY253</f>
        <v>42</v>
      </c>
      <c r="AZ254" s="299">
        <f t="shared" ref="AZ254:BB254" si="90">AZ244+1</f>
        <v>35</v>
      </c>
      <c r="BA254" s="299">
        <f t="shared" si="90"/>
        <v>95</v>
      </c>
      <c r="BB254" s="299">
        <f t="shared" si="90"/>
        <v>143</v>
      </c>
    </row>
    <row r="255" spans="1:54" s="256" customFormat="1" ht="11.4" customHeight="1">
      <c r="A255" s="240"/>
      <c r="B255" s="341"/>
      <c r="C255" s="346"/>
      <c r="D255" s="348" t="s">
        <v>2415</v>
      </c>
      <c r="E255" s="348"/>
      <c r="F255" s="348"/>
      <c r="G255" s="348"/>
      <c r="H255" s="348"/>
      <c r="I255" s="348"/>
      <c r="J255" s="348"/>
      <c r="K255" s="348"/>
      <c r="L255" s="302" t="s">
        <v>2421</v>
      </c>
      <c r="M255" s="261"/>
      <c r="N255" s="368" t="s">
        <v>1266</v>
      </c>
      <c r="O255" s="369"/>
      <c r="P255" s="309">
        <f t="shared" ca="1" si="43"/>
        <v>1</v>
      </c>
      <c r="Q255" s="310"/>
      <c r="R255" s="311" t="str">
        <f t="shared" ca="1" si="44"/>
        <v>C</v>
      </c>
      <c r="S255" s="312">
        <f t="shared" ca="1" si="45"/>
        <v>0</v>
      </c>
      <c r="T255" s="313"/>
      <c r="U255" s="314">
        <f t="shared" ca="1" si="83"/>
        <v>0</v>
      </c>
      <c r="V255" s="315"/>
      <c r="W255" s="316">
        <f t="shared" ref="W255" ca="1" si="91">IFERROR((-P254+1/(1/P254+P256/P257)),"")</f>
        <v>-0.54382022471910119</v>
      </c>
      <c r="X255" s="317"/>
      <c r="Y255" s="318"/>
      <c r="Z255" s="319">
        <f t="shared" ca="1" si="85"/>
        <v>0</v>
      </c>
      <c r="AA255" s="320"/>
      <c r="AB255" s="321"/>
      <c r="AC255" s="322">
        <f t="shared" ref="AC255" ca="1" si="92">IFERROR(Z255/P259,"")</f>
        <v>0</v>
      </c>
      <c r="AD255" s="323"/>
      <c r="AE255" s="385">
        <f t="shared" ref="AE255" ca="1" si="93">IFERROR(AL255/AL259,"")</f>
        <v>0</v>
      </c>
      <c r="AF255" s="386"/>
      <c r="AG255" s="339"/>
      <c r="AH255" s="241"/>
      <c r="AI255" s="262"/>
      <c r="AJ255" s="262"/>
      <c r="AK255" s="262"/>
      <c r="AL255" s="263">
        <f t="shared" ca="1" si="88"/>
        <v>0</v>
      </c>
      <c r="AM255" s="264"/>
      <c r="AN255" s="255"/>
      <c r="AO255" s="240"/>
      <c r="AP255" s="262"/>
      <c r="AY255" s="299">
        <f t="shared" si="89"/>
        <v>42</v>
      </c>
      <c r="AZ255" s="299">
        <f t="shared" ref="AZ255:BB255" si="94">AZ245+1</f>
        <v>47</v>
      </c>
      <c r="BA255" s="299">
        <f t="shared" si="94"/>
        <v>107</v>
      </c>
      <c r="BB255" s="299">
        <f t="shared" si="94"/>
        <v>155</v>
      </c>
    </row>
    <row r="256" spans="1:54" s="256" customFormat="1" ht="11.4" customHeight="1">
      <c r="A256" s="240"/>
      <c r="B256" s="341"/>
      <c r="C256" s="346"/>
      <c r="D256" s="348" t="s">
        <v>175</v>
      </c>
      <c r="E256" s="348"/>
      <c r="F256" s="348"/>
      <c r="G256" s="348"/>
      <c r="H256" s="348"/>
      <c r="I256" s="348"/>
      <c r="J256" s="348"/>
      <c r="K256" s="348"/>
      <c r="L256" s="302" t="s">
        <v>2422</v>
      </c>
      <c r="M256" s="261"/>
      <c r="N256" s="368" t="s">
        <v>2416</v>
      </c>
      <c r="O256" s="369"/>
      <c r="P256" s="309">
        <f t="shared" ca="1" si="43"/>
        <v>0.04</v>
      </c>
      <c r="Q256" s="324"/>
      <c r="R256" s="311" t="str">
        <f t="shared" ca="1" si="44"/>
        <v>C</v>
      </c>
      <c r="S256" s="312">
        <f t="shared" ca="1" si="45"/>
        <v>0.01</v>
      </c>
      <c r="T256" s="313"/>
      <c r="U256" s="314">
        <f t="shared" ca="1" si="83"/>
        <v>0.25</v>
      </c>
      <c r="V256" s="315"/>
      <c r="W256" s="316">
        <f t="shared" ref="W256" ca="1" si="95">IFERROR(-P255*P257/(P257/P254+P256)^2,"")</f>
        <v>-6.8741320540335824</v>
      </c>
      <c r="X256" s="317"/>
      <c r="Y256" s="318"/>
      <c r="Z256" s="319">
        <f t="shared" ca="1" si="85"/>
        <v>6.8741320540335826E-2</v>
      </c>
      <c r="AA256" s="320"/>
      <c r="AB256" s="321"/>
      <c r="AC256" s="322">
        <f t="shared" ref="AC256" ca="1" si="96">IFERROR(Z256/P259,"")</f>
        <v>0.12359550561797754</v>
      </c>
      <c r="AD256" s="323"/>
      <c r="AE256" s="385">
        <f t="shared" ref="AE256" ca="1" si="97">IFERROR(AL256/AL259,"")</f>
        <v>0.34889420720279118</v>
      </c>
      <c r="AF256" s="387"/>
      <c r="AG256" s="339"/>
      <c r="AH256" s="241"/>
      <c r="AI256" s="262"/>
      <c r="AJ256" s="262"/>
      <c r="AK256" s="262"/>
      <c r="AL256" s="263">
        <f t="shared" ca="1" si="88"/>
        <v>4.7253691496291963E-3</v>
      </c>
      <c r="AM256" s="264"/>
      <c r="AN256" s="255"/>
      <c r="AO256" s="240"/>
      <c r="AP256" s="262"/>
      <c r="AY256" s="299">
        <f t="shared" si="61"/>
        <v>42</v>
      </c>
      <c r="AZ256" s="299">
        <f t="shared" ref="AZ256:BB256" si="98">AZ246+1</f>
        <v>59</v>
      </c>
      <c r="BA256" s="299">
        <f t="shared" si="98"/>
        <v>119</v>
      </c>
      <c r="BB256" s="299">
        <f t="shared" si="98"/>
        <v>167</v>
      </c>
    </row>
    <row r="257" spans="1:54" s="256" customFormat="1" ht="11.4" customHeight="1">
      <c r="A257" s="240"/>
      <c r="B257" s="341"/>
      <c r="C257" s="346"/>
      <c r="D257" s="348" t="s">
        <v>2417</v>
      </c>
      <c r="E257" s="348"/>
      <c r="F257" s="348"/>
      <c r="G257" s="348"/>
      <c r="H257" s="348"/>
      <c r="I257" s="348"/>
      <c r="J257" s="348"/>
      <c r="K257" s="348"/>
      <c r="L257" s="302" t="s">
        <v>2423</v>
      </c>
      <c r="M257" s="261"/>
      <c r="N257" s="368" t="s">
        <v>45</v>
      </c>
      <c r="O257" s="369"/>
      <c r="P257" s="325">
        <f t="shared" ca="1" si="43"/>
        <v>4.4999999999999998E-2</v>
      </c>
      <c r="Q257" s="324"/>
      <c r="R257" s="311" t="str">
        <f t="shared" ca="1" si="44"/>
        <v>C</v>
      </c>
      <c r="S257" s="326">
        <f t="shared" ca="1" si="45"/>
        <v>6.7499999999999999E-3</v>
      </c>
      <c r="T257" s="327"/>
      <c r="U257" s="314">
        <f t="shared" ca="1" si="83"/>
        <v>0.15</v>
      </c>
      <c r="V257" s="315"/>
      <c r="W257" s="316">
        <f t="shared" ref="W257" ca="1" si="99">IFERROR(P255*P256/(P257/P254+P256)^2,"")</f>
        <v>6.1103396035854072</v>
      </c>
      <c r="X257" s="317"/>
      <c r="Y257" s="318"/>
      <c r="Z257" s="319">
        <f t="shared" ca="1" si="85"/>
        <v>4.1244792324201501E-2</v>
      </c>
      <c r="AA257" s="320"/>
      <c r="AB257" s="321"/>
      <c r="AC257" s="322">
        <f t="shared" ref="AC257" ca="1" si="100">IFERROR(Z257/P259,"")</f>
        <v>7.4157303370786534E-2</v>
      </c>
      <c r="AD257" s="323"/>
      <c r="AE257" s="385">
        <f t="shared" ref="AE257" ca="1" si="101">IFERROR(AL257/AL259,"")</f>
        <v>0.12560191459300488</v>
      </c>
      <c r="AF257" s="387"/>
      <c r="AG257" s="339"/>
      <c r="AH257" s="241"/>
      <c r="AI257" s="262"/>
      <c r="AJ257" s="262"/>
      <c r="AK257" s="262"/>
      <c r="AL257" s="263">
        <f t="shared" ca="1" si="88"/>
        <v>1.7011328938665111E-3</v>
      </c>
      <c r="AM257" s="264"/>
      <c r="AN257" s="255"/>
      <c r="AO257" s="240"/>
      <c r="AP257" s="262"/>
      <c r="AY257" s="299">
        <f t="shared" si="61"/>
        <v>42</v>
      </c>
      <c r="AZ257" s="299">
        <f t="shared" ref="AZ257:BB257" si="102">AZ247+1</f>
        <v>71</v>
      </c>
      <c r="BA257" s="299">
        <f t="shared" si="102"/>
        <v>131</v>
      </c>
      <c r="BB257" s="299">
        <f t="shared" si="102"/>
        <v>179</v>
      </c>
    </row>
    <row r="258" spans="1:54" s="256" customFormat="1" ht="11.4" customHeight="1">
      <c r="A258" s="240"/>
      <c r="B258" s="341"/>
      <c r="C258" s="347"/>
      <c r="D258" s="348"/>
      <c r="E258" s="370" t="s">
        <v>2424</v>
      </c>
      <c r="F258" s="371"/>
      <c r="G258" s="371"/>
      <c r="H258" s="349"/>
      <c r="I258" s="372"/>
      <c r="J258" s="371"/>
      <c r="K258" s="371"/>
      <c r="L258" s="373"/>
      <c r="M258" s="374"/>
      <c r="N258" s="375" t="s">
        <v>46</v>
      </c>
      <c r="O258" s="376"/>
      <c r="P258" s="392">
        <f t="shared" ref="P258" ca="1" si="103">IFERROR(1/(1/P254+P256/P257),"")</f>
        <v>0.5561797752808989</v>
      </c>
      <c r="Q258" s="393"/>
      <c r="R258" s="355"/>
      <c r="S258" s="355"/>
      <c r="T258" s="356"/>
      <c r="U258" s="355"/>
      <c r="V258" s="357"/>
      <c r="W258" s="355"/>
      <c r="X258" s="357"/>
      <c r="Y258" s="357"/>
      <c r="Z258" s="354" t="s">
        <v>2411</v>
      </c>
      <c r="AA258" s="358"/>
      <c r="AB258" s="358"/>
      <c r="AC258" s="359"/>
      <c r="AD258" s="358"/>
      <c r="AE258" s="388"/>
      <c r="AF258" s="389"/>
      <c r="AG258" s="339"/>
      <c r="AH258" s="241"/>
      <c r="AI258" s="240"/>
      <c r="AJ258" s="240"/>
      <c r="AK258" s="240"/>
      <c r="AL258" s="265"/>
      <c r="AM258" s="265"/>
      <c r="AN258" s="255"/>
      <c r="AO258" s="240"/>
      <c r="AU258" s="406" t="s">
        <v>2419</v>
      </c>
      <c r="AW258" s="301"/>
    </row>
    <row r="259" spans="1:54" s="256" customFormat="1" ht="11.4" customHeight="1">
      <c r="A259" s="240"/>
      <c r="B259" s="341"/>
      <c r="C259" s="367" t="s">
        <v>2425</v>
      </c>
      <c r="D259" s="348"/>
      <c r="E259" s="348"/>
      <c r="F259" s="348"/>
      <c r="G259" s="348"/>
      <c r="H259" s="349"/>
      <c r="I259" s="350"/>
      <c r="J259" s="348"/>
      <c r="K259" s="348"/>
      <c r="L259" s="360"/>
      <c r="M259" s="361"/>
      <c r="N259" s="368" t="s">
        <v>46</v>
      </c>
      <c r="O259" s="369"/>
      <c r="P259" s="328">
        <f t="shared" ref="P259" ca="1" si="104">IFERROR((1-P255)*P254+P255*1/(1/P254+P256/P257),P254)</f>
        <v>0.5561797752808989</v>
      </c>
      <c r="Q259" s="329"/>
      <c r="R259" s="362"/>
      <c r="S259" s="362"/>
      <c r="T259" s="363"/>
      <c r="U259" s="362"/>
      <c r="V259" s="364"/>
      <c r="W259" s="362"/>
      <c r="X259" s="364"/>
      <c r="Y259" s="364"/>
      <c r="Z259" s="330">
        <f t="shared" ref="Z259" ca="1" si="105">IF(P254&gt;0,IFERROR(SQRT(SUMPRODUCT(Z254:Z257,Z254:Z257)),""),"")</f>
        <v>0.11637802733394169</v>
      </c>
      <c r="AA259" s="331"/>
      <c r="AB259" s="332"/>
      <c r="AC259" s="322">
        <f t="shared" ref="AC259" ca="1" si="106">IFERROR(Z259/P259,"")</f>
        <v>0.20924534207516787</v>
      </c>
      <c r="AD259" s="323"/>
      <c r="AE259" s="390">
        <f t="shared" ref="AE259" ca="1" si="107">IFERROR(AL259/AL259,"")</f>
        <v>1</v>
      </c>
      <c r="AF259" s="391"/>
      <c r="AG259" s="341"/>
      <c r="AH259" s="241"/>
      <c r="AI259" s="262"/>
      <c r="AJ259" s="262"/>
      <c r="AK259" s="262"/>
      <c r="AL259" s="263">
        <f t="shared" ref="AL259" ca="1" si="108">SUM(AL254:AL257)</f>
        <v>1.354384524613968E-2</v>
      </c>
      <c r="AM259" s="264"/>
      <c r="AN259" s="255"/>
      <c r="AO259" s="240"/>
      <c r="AP259" s="260"/>
      <c r="AU259" s="403">
        <f t="shared" ref="AU259" ca="1" si="109">OFFSET($A$1,$BA259-1,$AY259-1)</f>
        <v>0.5561797752808989</v>
      </c>
      <c r="AV259" s="404"/>
      <c r="AW259" s="405">
        <f t="shared" ref="AW259" ca="1" si="110">OFFSET($A$1,$BB259-1,$AY259-1)</f>
        <v>0.11637802733394169</v>
      </c>
      <c r="AX259" s="404"/>
      <c r="AY259" s="299">
        <f t="shared" si="61"/>
        <v>42</v>
      </c>
      <c r="BA259" s="299">
        <f t="shared" ref="BA259:BB259" si="111">BA249+1</f>
        <v>83</v>
      </c>
      <c r="BB259" s="299">
        <f t="shared" si="111"/>
        <v>191</v>
      </c>
    </row>
    <row r="260" spans="1:54" s="256" customFormat="1" ht="6" customHeight="1">
      <c r="A260" s="240"/>
      <c r="B260" s="341"/>
      <c r="C260" s="377"/>
      <c r="D260" s="378"/>
      <c r="E260" s="378"/>
      <c r="F260" s="378"/>
      <c r="G260" s="378"/>
      <c r="H260" s="378"/>
      <c r="I260" s="378"/>
      <c r="J260" s="378"/>
      <c r="K260" s="378"/>
      <c r="L260" s="379"/>
      <c r="M260" s="380"/>
      <c r="N260" s="379"/>
      <c r="O260" s="380"/>
      <c r="P260" s="379"/>
      <c r="Q260" s="381"/>
      <c r="R260" s="382"/>
      <c r="S260" s="382"/>
      <c r="T260" s="383"/>
      <c r="U260" s="382"/>
      <c r="V260" s="378"/>
      <c r="W260" s="382"/>
      <c r="X260" s="378"/>
      <c r="Y260" s="378"/>
      <c r="Z260" s="382"/>
      <c r="AA260" s="378"/>
      <c r="AB260" s="378"/>
      <c r="AC260" s="382"/>
      <c r="AD260" s="378"/>
      <c r="AE260" s="382"/>
      <c r="AF260" s="384"/>
      <c r="AG260" s="339"/>
      <c r="AH260" s="241"/>
      <c r="AI260" s="240"/>
      <c r="AJ260" s="240"/>
      <c r="AK260" s="240"/>
      <c r="AL260" s="240"/>
      <c r="AM260" s="240"/>
      <c r="AN260" s="255"/>
      <c r="AO260" s="240"/>
      <c r="AP260" s="260"/>
    </row>
    <row r="261" spans="1:54" s="256" customFormat="1" ht="6" customHeight="1">
      <c r="A261" s="240"/>
      <c r="B261" s="341"/>
      <c r="C261" s="400"/>
      <c r="D261" s="400"/>
      <c r="E261" s="400"/>
      <c r="F261" s="400"/>
      <c r="G261" s="400"/>
      <c r="H261" s="400"/>
      <c r="I261" s="400"/>
      <c r="J261" s="400"/>
      <c r="K261" s="400"/>
      <c r="L261" s="401"/>
      <c r="M261" s="400"/>
      <c r="N261" s="401"/>
      <c r="O261" s="400"/>
      <c r="P261" s="401"/>
      <c r="Q261" s="402"/>
      <c r="R261" s="401"/>
      <c r="S261" s="401"/>
      <c r="T261" s="402"/>
      <c r="U261" s="401"/>
      <c r="V261" s="400"/>
      <c r="W261" s="401"/>
      <c r="X261" s="400"/>
      <c r="Y261" s="400"/>
      <c r="Z261" s="401"/>
      <c r="AA261" s="400"/>
      <c r="AB261" s="400"/>
      <c r="AC261" s="401"/>
      <c r="AD261" s="400"/>
      <c r="AE261" s="401"/>
      <c r="AF261" s="402"/>
      <c r="AG261" s="339"/>
      <c r="AH261" s="241"/>
      <c r="AI261" s="240"/>
      <c r="AJ261" s="240"/>
      <c r="AK261" s="240"/>
      <c r="AL261" s="240"/>
      <c r="AM261" s="240"/>
      <c r="AN261" s="255"/>
      <c r="AO261" s="240"/>
      <c r="AP261" s="260"/>
    </row>
    <row r="262" spans="1:54" s="256" customFormat="1" ht="11.4" customHeight="1">
      <c r="A262" s="240"/>
      <c r="B262" s="341"/>
      <c r="C262" s="394" t="str">
        <f t="shared" ref="C262" ca="1" si="112">OFFSET($A$1,$AZ263-1,$AY263-1)</f>
        <v>C.A.005</v>
      </c>
      <c r="D262" s="365"/>
      <c r="E262" s="365"/>
      <c r="F262" s="365"/>
      <c r="G262" s="365"/>
      <c r="H262" s="365"/>
      <c r="I262" s="365"/>
      <c r="J262" s="365"/>
      <c r="K262" s="366"/>
      <c r="L262" s="395" t="str">
        <f t="shared" ref="L262" ca="1" si="113">OFFSET($A$1,$BA263-1,$AY263-1)</f>
        <v>Building from 1960, insulation upgrade: d = 16 cm | f = 1.00 | Lambda = 0.035 | data from records</v>
      </c>
      <c r="M262" s="396"/>
      <c r="N262" s="396"/>
      <c r="O262" s="396"/>
      <c r="P262" s="396"/>
      <c r="Q262" s="396"/>
      <c r="R262" s="397"/>
      <c r="S262" s="397"/>
      <c r="T262" s="398"/>
      <c r="U262" s="396"/>
      <c r="V262" s="396"/>
      <c r="W262" s="396"/>
      <c r="X262" s="396"/>
      <c r="Y262" s="396"/>
      <c r="Z262" s="396"/>
      <c r="AA262" s="396"/>
      <c r="AB262" s="396"/>
      <c r="AC262" s="396"/>
      <c r="AD262" s="396"/>
      <c r="AE262" s="396"/>
      <c r="AF262" s="399"/>
      <c r="AG262" s="339"/>
      <c r="AH262" s="241"/>
      <c r="AI262" s="240"/>
      <c r="AJ262" s="240"/>
      <c r="AK262" s="240"/>
      <c r="AL262" s="240"/>
      <c r="AM262" s="240"/>
      <c r="AN262" s="255"/>
      <c r="AO262" s="240"/>
      <c r="AP262" s="260"/>
    </row>
    <row r="263" spans="1:54" s="256" customFormat="1" ht="11.4" customHeight="1">
      <c r="A263" s="240"/>
      <c r="B263" s="341"/>
      <c r="C263" s="333"/>
      <c r="D263" s="334"/>
      <c r="E263" s="334"/>
      <c r="F263" s="334"/>
      <c r="G263" s="334"/>
      <c r="H263" s="334"/>
      <c r="I263" s="334"/>
      <c r="J263" s="334"/>
      <c r="K263" s="335"/>
      <c r="L263" s="343"/>
      <c r="M263" s="348"/>
      <c r="N263" s="343"/>
      <c r="O263" s="348"/>
      <c r="P263" s="343"/>
      <c r="Q263" s="348"/>
      <c r="R263" s="343"/>
      <c r="S263" s="343"/>
      <c r="T263" s="351"/>
      <c r="U263" s="343"/>
      <c r="V263" s="348"/>
      <c r="W263" s="343"/>
      <c r="X263" s="348"/>
      <c r="Y263" s="348"/>
      <c r="Z263" s="343"/>
      <c r="AA263" s="348"/>
      <c r="AB263" s="352" t="s">
        <v>46</v>
      </c>
      <c r="AC263" s="343"/>
      <c r="AD263" s="353"/>
      <c r="AE263" s="343"/>
      <c r="AF263" s="344"/>
      <c r="AG263" s="339"/>
      <c r="AH263" s="241"/>
      <c r="AI263" s="240"/>
      <c r="AJ263" s="240"/>
      <c r="AK263" s="240"/>
      <c r="AL263" s="240"/>
      <c r="AM263" s="240"/>
      <c r="AN263" s="255"/>
      <c r="AO263" s="240"/>
      <c r="AP263" s="260"/>
      <c r="AY263" s="299">
        <f t="shared" ref="AY263" si="114">AY253</f>
        <v>42</v>
      </c>
      <c r="AZ263" s="300">
        <f t="shared" ref="AZ263:BA263" si="115">AZ253+1</f>
        <v>12</v>
      </c>
      <c r="BA263" s="300">
        <f t="shared" si="115"/>
        <v>24</v>
      </c>
    </row>
    <row r="264" spans="1:54" s="256" customFormat="1" ht="11.4" customHeight="1">
      <c r="A264" s="240"/>
      <c r="B264" s="341"/>
      <c r="C264" s="346"/>
      <c r="D264" s="348" t="s">
        <v>2414</v>
      </c>
      <c r="E264" s="348"/>
      <c r="F264" s="348"/>
      <c r="G264" s="348"/>
      <c r="H264" s="348"/>
      <c r="I264" s="348"/>
      <c r="J264" s="348"/>
      <c r="K264" s="348"/>
      <c r="L264" s="302" t="s">
        <v>2420</v>
      </c>
      <c r="M264" s="261"/>
      <c r="N264" s="368" t="s">
        <v>46</v>
      </c>
      <c r="O264" s="369"/>
      <c r="P264" s="309">
        <f t="shared" ref="P264" ca="1" si="116">OFFSET($A$1,$AZ264-1,$AY264-1)</f>
        <v>1.1000000000000001</v>
      </c>
      <c r="Q264" s="310"/>
      <c r="R264" s="311" t="str">
        <f t="shared" ref="R264" ca="1" si="117">OFFSET($A$1,$BA264-1,$AY264-1)</f>
        <v>D</v>
      </c>
      <c r="S264" s="312">
        <f t="shared" ref="S264" ca="1" si="118">OFFSET($A$1,$BB264-1,$AY264-1)</f>
        <v>0.33</v>
      </c>
      <c r="T264" s="313"/>
      <c r="U264" s="314">
        <f t="shared" ref="U264:U267" ca="1" si="119">IFERROR(S264/P264,0)</f>
        <v>0.3</v>
      </c>
      <c r="V264" s="315"/>
      <c r="W264" s="316">
        <f t="shared" ref="W264" ca="1" si="120">IF(P264&gt;0,IFERROR((1+P265*(1/(1+P266/P267*P264)^2-1)),1),"")</f>
        <v>2.7515105231239234E-2</v>
      </c>
      <c r="X264" s="317"/>
      <c r="Y264" s="318"/>
      <c r="Z264" s="319">
        <f t="shared" ref="Z264:Z267" ca="1" si="121">IFERROR(ABS(W264*S264),"")</f>
        <v>9.079984726308948E-3</v>
      </c>
      <c r="AA264" s="320"/>
      <c r="AB264" s="321"/>
      <c r="AC264" s="322">
        <f t="shared" ref="AC264" ca="1" si="122">IFERROR(Z264/P269,"")</f>
        <v>4.9763033175355534E-2</v>
      </c>
      <c r="AD264" s="323"/>
      <c r="AE264" s="385">
        <f t="shared" ref="AE264" ca="1" si="123">IFERROR(AL264/AL269,"")</f>
        <v>8.5385026448060619E-2</v>
      </c>
      <c r="AF264" s="386"/>
      <c r="AG264" s="339"/>
      <c r="AH264" s="241"/>
      <c r="AI264" s="262"/>
      <c r="AJ264" s="262"/>
      <c r="AK264" s="262"/>
      <c r="AL264" s="263">
        <f t="shared" ref="AL264:AL267" ca="1" si="124">IFERROR(Z264^2,0)</f>
        <v>8.2446122630003784E-5</v>
      </c>
      <c r="AM264" s="264"/>
      <c r="AN264" s="255"/>
      <c r="AO264" s="240"/>
      <c r="AP264" s="262"/>
      <c r="AY264" s="299">
        <f t="shared" ref="AY264:AY265" si="125">AY263</f>
        <v>42</v>
      </c>
      <c r="AZ264" s="299">
        <f t="shared" ref="AZ264:BB264" si="126">AZ254+1</f>
        <v>36</v>
      </c>
      <c r="BA264" s="299">
        <f t="shared" si="126"/>
        <v>96</v>
      </c>
      <c r="BB264" s="299">
        <f t="shared" si="126"/>
        <v>144</v>
      </c>
    </row>
    <row r="265" spans="1:54" s="256" customFormat="1" ht="11.4" customHeight="1">
      <c r="A265" s="240"/>
      <c r="B265" s="341"/>
      <c r="C265" s="346"/>
      <c r="D265" s="348" t="s">
        <v>2415</v>
      </c>
      <c r="E265" s="348"/>
      <c r="F265" s="348"/>
      <c r="G265" s="348"/>
      <c r="H265" s="348"/>
      <c r="I265" s="348"/>
      <c r="J265" s="348"/>
      <c r="K265" s="348"/>
      <c r="L265" s="302" t="s">
        <v>2421</v>
      </c>
      <c r="M265" s="261"/>
      <c r="N265" s="368" t="s">
        <v>1266</v>
      </c>
      <c r="O265" s="369"/>
      <c r="P265" s="309">
        <f t="shared" ca="1" si="43"/>
        <v>1</v>
      </c>
      <c r="Q265" s="310"/>
      <c r="R265" s="311" t="str">
        <f t="shared" ca="1" si="44"/>
        <v>C</v>
      </c>
      <c r="S265" s="312">
        <f t="shared" ca="1" si="45"/>
        <v>0</v>
      </c>
      <c r="T265" s="313"/>
      <c r="U265" s="314">
        <f t="shared" ca="1" si="119"/>
        <v>0</v>
      </c>
      <c r="V265" s="315"/>
      <c r="W265" s="316">
        <f t="shared" ref="W265" ca="1" si="127">IFERROR((-P264+1/(1/P264+P266/P267)),"")</f>
        <v>-0.91753554502369683</v>
      </c>
      <c r="X265" s="317"/>
      <c r="Y265" s="318"/>
      <c r="Z265" s="319">
        <f t="shared" ca="1" si="121"/>
        <v>0</v>
      </c>
      <c r="AA265" s="320"/>
      <c r="AB265" s="321"/>
      <c r="AC265" s="322">
        <f t="shared" ref="AC265" ca="1" si="128">IFERROR(Z265/P269,"")</f>
        <v>0</v>
      </c>
      <c r="AD265" s="323"/>
      <c r="AE265" s="385">
        <f t="shared" ref="AE265" ca="1" si="129">IFERROR(AL265/AL269,"")</f>
        <v>0</v>
      </c>
      <c r="AF265" s="386"/>
      <c r="AG265" s="339"/>
      <c r="AH265" s="241"/>
      <c r="AI265" s="262"/>
      <c r="AJ265" s="262"/>
      <c r="AK265" s="262"/>
      <c r="AL265" s="263">
        <f t="shared" ca="1" si="124"/>
        <v>0</v>
      </c>
      <c r="AM265" s="264"/>
      <c r="AN265" s="255"/>
      <c r="AO265" s="240"/>
      <c r="AP265" s="262"/>
      <c r="AY265" s="299">
        <f t="shared" si="125"/>
        <v>42</v>
      </c>
      <c r="AZ265" s="299">
        <f t="shared" ref="AZ265:BB265" si="130">AZ255+1</f>
        <v>48</v>
      </c>
      <c r="BA265" s="299">
        <f t="shared" si="130"/>
        <v>108</v>
      </c>
      <c r="BB265" s="299">
        <f t="shared" si="130"/>
        <v>156</v>
      </c>
    </row>
    <row r="266" spans="1:54" s="256" customFormat="1" ht="11.4" customHeight="1">
      <c r="A266" s="240"/>
      <c r="B266" s="341"/>
      <c r="C266" s="346"/>
      <c r="D266" s="348" t="s">
        <v>175</v>
      </c>
      <c r="E266" s="348"/>
      <c r="F266" s="348"/>
      <c r="G266" s="348"/>
      <c r="H266" s="348"/>
      <c r="I266" s="348"/>
      <c r="J266" s="348"/>
      <c r="K266" s="348"/>
      <c r="L266" s="302" t="s">
        <v>2422</v>
      </c>
      <c r="M266" s="261"/>
      <c r="N266" s="368" t="s">
        <v>2416</v>
      </c>
      <c r="O266" s="369"/>
      <c r="P266" s="309">
        <f t="shared" ca="1" si="43"/>
        <v>0.16</v>
      </c>
      <c r="Q266" s="324"/>
      <c r="R266" s="311" t="str">
        <f t="shared" ca="1" si="44"/>
        <v>C</v>
      </c>
      <c r="S266" s="312">
        <f t="shared" ca="1" si="45"/>
        <v>0.02</v>
      </c>
      <c r="T266" s="313"/>
      <c r="U266" s="314">
        <f t="shared" ca="1" si="119"/>
        <v>0.125</v>
      </c>
      <c r="V266" s="315"/>
      <c r="W266" s="316">
        <f t="shared" ref="W266" ca="1" si="131">IFERROR(-P265*P267/(P267/P264+P266)^2,"")</f>
        <v>-0.95123649513712627</v>
      </c>
      <c r="X266" s="317"/>
      <c r="Y266" s="318"/>
      <c r="Z266" s="319">
        <f t="shared" ca="1" si="121"/>
        <v>1.9024729902742527E-2</v>
      </c>
      <c r="AA266" s="320"/>
      <c r="AB266" s="321"/>
      <c r="AC266" s="322">
        <f t="shared" ref="AC266" ca="1" si="132">IFERROR(Z266/P269,"")</f>
        <v>0.1042654028436019</v>
      </c>
      <c r="AD266" s="323"/>
      <c r="AE266" s="385">
        <f t="shared" ref="AE266" ca="1" si="133">IFERROR(AL266/AL269,"")</f>
        <v>0.37484220227538501</v>
      </c>
      <c r="AF266" s="387"/>
      <c r="AG266" s="339"/>
      <c r="AH266" s="241"/>
      <c r="AI266" s="262"/>
      <c r="AJ266" s="262"/>
      <c r="AK266" s="262"/>
      <c r="AL266" s="263">
        <f t="shared" ca="1" si="124"/>
        <v>3.6194034787230566E-4</v>
      </c>
      <c r="AM266" s="264"/>
      <c r="AN266" s="255"/>
      <c r="AO266" s="240"/>
      <c r="AP266" s="262"/>
      <c r="AY266" s="299">
        <f t="shared" si="61"/>
        <v>42</v>
      </c>
      <c r="AZ266" s="299">
        <f t="shared" ref="AZ266:BB266" si="134">AZ256+1</f>
        <v>60</v>
      </c>
      <c r="BA266" s="299">
        <f t="shared" si="134"/>
        <v>120</v>
      </c>
      <c r="BB266" s="299">
        <f t="shared" si="134"/>
        <v>168</v>
      </c>
    </row>
    <row r="267" spans="1:54" s="256" customFormat="1" ht="11.4" customHeight="1">
      <c r="A267" s="240"/>
      <c r="B267" s="341"/>
      <c r="C267" s="346"/>
      <c r="D267" s="348" t="s">
        <v>2417</v>
      </c>
      <c r="E267" s="348"/>
      <c r="F267" s="348"/>
      <c r="G267" s="348"/>
      <c r="H267" s="348"/>
      <c r="I267" s="348"/>
      <c r="J267" s="348"/>
      <c r="K267" s="348"/>
      <c r="L267" s="302" t="s">
        <v>2423</v>
      </c>
      <c r="M267" s="261"/>
      <c r="N267" s="368" t="s">
        <v>45</v>
      </c>
      <c r="O267" s="369"/>
      <c r="P267" s="325">
        <f t="shared" ca="1" si="43"/>
        <v>3.5000000000000003E-2</v>
      </c>
      <c r="Q267" s="324"/>
      <c r="R267" s="311" t="str">
        <f t="shared" ca="1" si="44"/>
        <v>C</v>
      </c>
      <c r="S267" s="326">
        <f t="shared" ca="1" si="45"/>
        <v>5.2500000000000003E-3</v>
      </c>
      <c r="T267" s="327"/>
      <c r="U267" s="314">
        <f t="shared" ca="1" si="119"/>
        <v>0.15</v>
      </c>
      <c r="V267" s="315"/>
      <c r="W267" s="316">
        <f t="shared" ref="W267" ca="1" si="135">IFERROR(P265*P266/(P267/P264+P266)^2,"")</f>
        <v>4.3485096920554343</v>
      </c>
      <c r="X267" s="317"/>
      <c r="Y267" s="318"/>
      <c r="Z267" s="319">
        <f t="shared" ca="1" si="121"/>
        <v>2.2829675883291031E-2</v>
      </c>
      <c r="AA267" s="320"/>
      <c r="AB267" s="321"/>
      <c r="AC267" s="322">
        <f t="shared" ref="AC267" ca="1" si="136">IFERROR(Z267/P269,"")</f>
        <v>0.12511848341232229</v>
      </c>
      <c r="AD267" s="323"/>
      <c r="AE267" s="385">
        <f t="shared" ref="AE267" ca="1" si="137">IFERROR(AL267/AL269,"")</f>
        <v>0.53977277127655443</v>
      </c>
      <c r="AF267" s="387"/>
      <c r="AG267" s="339"/>
      <c r="AH267" s="241"/>
      <c r="AI267" s="262"/>
      <c r="AJ267" s="262"/>
      <c r="AK267" s="262"/>
      <c r="AL267" s="263">
        <f t="shared" ca="1" si="124"/>
        <v>5.2119410093612014E-4</v>
      </c>
      <c r="AM267" s="264"/>
      <c r="AN267" s="255"/>
      <c r="AO267" s="240"/>
      <c r="AP267" s="262"/>
      <c r="AY267" s="299">
        <f t="shared" si="61"/>
        <v>42</v>
      </c>
      <c r="AZ267" s="299">
        <f t="shared" ref="AZ267:BB267" si="138">AZ257+1</f>
        <v>72</v>
      </c>
      <c r="BA267" s="299">
        <f t="shared" si="138"/>
        <v>132</v>
      </c>
      <c r="BB267" s="299">
        <f t="shared" si="138"/>
        <v>180</v>
      </c>
    </row>
    <row r="268" spans="1:54" s="256" customFormat="1" ht="11.4" customHeight="1">
      <c r="A268" s="240"/>
      <c r="B268" s="341"/>
      <c r="C268" s="347"/>
      <c r="D268" s="348"/>
      <c r="E268" s="370" t="s">
        <v>2424</v>
      </c>
      <c r="F268" s="371"/>
      <c r="G268" s="371"/>
      <c r="H268" s="349"/>
      <c r="I268" s="372"/>
      <c r="J268" s="371"/>
      <c r="K268" s="371"/>
      <c r="L268" s="373"/>
      <c r="M268" s="374"/>
      <c r="N268" s="375" t="s">
        <v>46</v>
      </c>
      <c r="O268" s="376"/>
      <c r="P268" s="392">
        <f t="shared" ref="P268" ca="1" si="139">IFERROR(1/(1/P264+P266/P267),"")</f>
        <v>0.18246445497630331</v>
      </c>
      <c r="Q268" s="393"/>
      <c r="R268" s="355"/>
      <c r="S268" s="355"/>
      <c r="T268" s="356"/>
      <c r="U268" s="355"/>
      <c r="V268" s="357"/>
      <c r="W268" s="355"/>
      <c r="X268" s="357"/>
      <c r="Y268" s="357"/>
      <c r="Z268" s="354" t="s">
        <v>2411</v>
      </c>
      <c r="AA268" s="358"/>
      <c r="AB268" s="358"/>
      <c r="AC268" s="359"/>
      <c r="AD268" s="358"/>
      <c r="AE268" s="388"/>
      <c r="AF268" s="389"/>
      <c r="AG268" s="339"/>
      <c r="AH268" s="241"/>
      <c r="AI268" s="240"/>
      <c r="AJ268" s="240"/>
      <c r="AK268" s="240"/>
      <c r="AL268" s="265"/>
      <c r="AM268" s="265"/>
      <c r="AN268" s="255"/>
      <c r="AO268" s="240"/>
      <c r="AU268" s="406" t="s">
        <v>2419</v>
      </c>
      <c r="AW268" s="301"/>
    </row>
    <row r="269" spans="1:54" s="256" customFormat="1" ht="11.4" customHeight="1">
      <c r="A269" s="240"/>
      <c r="B269" s="341"/>
      <c r="C269" s="367" t="s">
        <v>2425</v>
      </c>
      <c r="D269" s="348"/>
      <c r="E269" s="348"/>
      <c r="F269" s="348"/>
      <c r="G269" s="348"/>
      <c r="H269" s="349"/>
      <c r="I269" s="350"/>
      <c r="J269" s="348"/>
      <c r="K269" s="348"/>
      <c r="L269" s="360"/>
      <c r="M269" s="361"/>
      <c r="N269" s="368" t="s">
        <v>46</v>
      </c>
      <c r="O269" s="369"/>
      <c r="P269" s="328">
        <f t="shared" ref="P269" ca="1" si="140">IFERROR((1-P265)*P264+P265*1/(1/P264+P266/P267),P264)</f>
        <v>0.18246445497630331</v>
      </c>
      <c r="Q269" s="329"/>
      <c r="R269" s="362"/>
      <c r="S269" s="362"/>
      <c r="T269" s="363"/>
      <c r="U269" s="362"/>
      <c r="V269" s="364"/>
      <c r="W269" s="362"/>
      <c r="X269" s="364"/>
      <c r="Y269" s="364"/>
      <c r="Z269" s="330">
        <f t="shared" ref="Z269" ca="1" si="141">IF(P264&gt;0,IFERROR(SQRT(SUMPRODUCT(Z264:Z267,Z264:Z267)),""),"")</f>
        <v>3.1073792356878963E-2</v>
      </c>
      <c r="AA269" s="331"/>
      <c r="AB269" s="332"/>
      <c r="AC269" s="322">
        <f t="shared" ref="AC269" ca="1" si="142">IFERROR(Z269/P269,"")</f>
        <v>0.1703005243454925</v>
      </c>
      <c r="AD269" s="323"/>
      <c r="AE269" s="390">
        <f t="shared" ref="AE269" ca="1" si="143">IFERROR(AL269/AL269,"")</f>
        <v>1</v>
      </c>
      <c r="AF269" s="391"/>
      <c r="AG269" s="341"/>
      <c r="AH269" s="241"/>
      <c r="AI269" s="262"/>
      <c r="AJ269" s="262"/>
      <c r="AK269" s="262"/>
      <c r="AL269" s="263">
        <f t="shared" ref="AL269" ca="1" si="144">SUM(AL264:AL267)</f>
        <v>9.6558057143842952E-4</v>
      </c>
      <c r="AM269" s="264"/>
      <c r="AN269" s="255"/>
      <c r="AO269" s="240"/>
      <c r="AP269" s="260"/>
      <c r="AU269" s="403">
        <f t="shared" ref="AU269" ca="1" si="145">OFFSET($A$1,$BA269-1,$AY269-1)</f>
        <v>0.18246445497630331</v>
      </c>
      <c r="AV269" s="404"/>
      <c r="AW269" s="405">
        <f t="shared" ref="AW269" ca="1" si="146">OFFSET($A$1,$BB269-1,$AY269-1)</f>
        <v>3.107379235687897E-2</v>
      </c>
      <c r="AX269" s="404"/>
      <c r="AY269" s="299">
        <f t="shared" si="61"/>
        <v>42</v>
      </c>
      <c r="BA269" s="299">
        <f t="shared" ref="BA269:BB269" si="147">BA259+1</f>
        <v>84</v>
      </c>
      <c r="BB269" s="299">
        <f t="shared" si="147"/>
        <v>192</v>
      </c>
    </row>
    <row r="270" spans="1:54" s="256" customFormat="1" ht="6" customHeight="1">
      <c r="A270" s="240"/>
      <c r="B270" s="341"/>
      <c r="C270" s="377"/>
      <c r="D270" s="378"/>
      <c r="E270" s="378"/>
      <c r="F270" s="378"/>
      <c r="G270" s="378"/>
      <c r="H270" s="378"/>
      <c r="I270" s="378"/>
      <c r="J270" s="378"/>
      <c r="K270" s="378"/>
      <c r="L270" s="379"/>
      <c r="M270" s="380"/>
      <c r="N270" s="379"/>
      <c r="O270" s="380"/>
      <c r="P270" s="379"/>
      <c r="Q270" s="381"/>
      <c r="R270" s="382"/>
      <c r="S270" s="382"/>
      <c r="T270" s="383"/>
      <c r="U270" s="382"/>
      <c r="V270" s="378"/>
      <c r="W270" s="382"/>
      <c r="X270" s="378"/>
      <c r="Y270" s="378"/>
      <c r="Z270" s="382"/>
      <c r="AA270" s="378"/>
      <c r="AB270" s="378"/>
      <c r="AC270" s="382"/>
      <c r="AD270" s="378"/>
      <c r="AE270" s="382"/>
      <c r="AF270" s="384"/>
      <c r="AG270" s="339"/>
      <c r="AH270" s="241"/>
      <c r="AI270" s="240"/>
      <c r="AJ270" s="240"/>
      <c r="AK270" s="240"/>
      <c r="AL270" s="240"/>
      <c r="AM270" s="240"/>
      <c r="AN270" s="255"/>
      <c r="AO270" s="240"/>
      <c r="AP270" s="260"/>
    </row>
    <row r="271" spans="1:54" s="256" customFormat="1" ht="6" customHeight="1">
      <c r="A271" s="240"/>
      <c r="B271" s="341"/>
      <c r="C271" s="400"/>
      <c r="D271" s="400"/>
      <c r="E271" s="400"/>
      <c r="F271" s="400"/>
      <c r="G271" s="400"/>
      <c r="H271" s="400"/>
      <c r="I271" s="400"/>
      <c r="J271" s="400"/>
      <c r="K271" s="400"/>
      <c r="L271" s="401"/>
      <c r="M271" s="400"/>
      <c r="N271" s="401"/>
      <c r="O271" s="400"/>
      <c r="P271" s="401"/>
      <c r="Q271" s="402"/>
      <c r="R271" s="401"/>
      <c r="S271" s="401"/>
      <c r="T271" s="402"/>
      <c r="U271" s="401"/>
      <c r="V271" s="400"/>
      <c r="W271" s="401"/>
      <c r="X271" s="400"/>
      <c r="Y271" s="400"/>
      <c r="Z271" s="401"/>
      <c r="AA271" s="400"/>
      <c r="AB271" s="400"/>
      <c r="AC271" s="401"/>
      <c r="AD271" s="400"/>
      <c r="AE271" s="401"/>
      <c r="AF271" s="402"/>
      <c r="AG271" s="339"/>
      <c r="AH271" s="241"/>
      <c r="AI271" s="240"/>
      <c r="AJ271" s="240"/>
      <c r="AK271" s="240"/>
      <c r="AL271" s="240"/>
      <c r="AM271" s="240"/>
      <c r="AN271" s="255"/>
      <c r="AO271" s="240"/>
      <c r="AP271" s="260"/>
    </row>
    <row r="272" spans="1:54" s="256" customFormat="1" ht="11.4" customHeight="1">
      <c r="A272" s="240"/>
      <c r="B272" s="341"/>
      <c r="C272" s="394" t="str">
        <f t="shared" ref="C272" ca="1" si="148">OFFSET($A$1,$AZ273-1,$AY273-1)</f>
        <v>C.A.006</v>
      </c>
      <c r="D272" s="365"/>
      <c r="E272" s="365"/>
      <c r="F272" s="365"/>
      <c r="G272" s="365"/>
      <c r="H272" s="365"/>
      <c r="I272" s="365"/>
      <c r="J272" s="365"/>
      <c r="K272" s="366"/>
      <c r="L272" s="395" t="str">
        <f t="shared" ref="L272" ca="1" si="149">OFFSET($A$1,$BA273-1,$AY273-1)</f>
        <v>Building from 1960, insulation upgrade: d = 16 cm | f = 1.00 | Lambda = 0.035 | design data</v>
      </c>
      <c r="M272" s="396"/>
      <c r="N272" s="396"/>
      <c r="O272" s="396"/>
      <c r="P272" s="396"/>
      <c r="Q272" s="396"/>
      <c r="R272" s="397"/>
      <c r="S272" s="397"/>
      <c r="T272" s="398"/>
      <c r="U272" s="396"/>
      <c r="V272" s="396"/>
      <c r="W272" s="396"/>
      <c r="X272" s="396"/>
      <c r="Y272" s="396"/>
      <c r="Z272" s="396"/>
      <c r="AA272" s="396"/>
      <c r="AB272" s="396"/>
      <c r="AC272" s="396"/>
      <c r="AD272" s="396"/>
      <c r="AE272" s="396"/>
      <c r="AF272" s="399"/>
      <c r="AG272" s="339"/>
      <c r="AH272" s="241"/>
      <c r="AI272" s="240"/>
      <c r="AJ272" s="240"/>
      <c r="AK272" s="240"/>
      <c r="AL272" s="240"/>
      <c r="AM272" s="240"/>
      <c r="AN272" s="255"/>
      <c r="AO272" s="240"/>
      <c r="AP272" s="260"/>
    </row>
    <row r="273" spans="1:54" s="256" customFormat="1" ht="11.4" customHeight="1">
      <c r="A273" s="240"/>
      <c r="B273" s="341"/>
      <c r="C273" s="333"/>
      <c r="D273" s="334"/>
      <c r="E273" s="334"/>
      <c r="F273" s="334"/>
      <c r="G273" s="334"/>
      <c r="H273" s="334"/>
      <c r="I273" s="334"/>
      <c r="J273" s="334"/>
      <c r="K273" s="335"/>
      <c r="L273" s="343"/>
      <c r="M273" s="348"/>
      <c r="N273" s="343"/>
      <c r="O273" s="348"/>
      <c r="P273" s="343"/>
      <c r="Q273" s="348"/>
      <c r="R273" s="343"/>
      <c r="S273" s="343"/>
      <c r="T273" s="351"/>
      <c r="U273" s="343"/>
      <c r="V273" s="348"/>
      <c r="W273" s="343"/>
      <c r="X273" s="348"/>
      <c r="Y273" s="348"/>
      <c r="Z273" s="343"/>
      <c r="AA273" s="348"/>
      <c r="AB273" s="352" t="s">
        <v>46</v>
      </c>
      <c r="AC273" s="343"/>
      <c r="AD273" s="353"/>
      <c r="AE273" s="343"/>
      <c r="AF273" s="344"/>
      <c r="AG273" s="339"/>
      <c r="AH273" s="241"/>
      <c r="AI273" s="240"/>
      <c r="AJ273" s="240"/>
      <c r="AK273" s="240"/>
      <c r="AL273" s="240"/>
      <c r="AM273" s="240"/>
      <c r="AN273" s="255"/>
      <c r="AO273" s="240"/>
      <c r="AP273" s="260"/>
      <c r="AY273" s="299">
        <f t="shared" ref="AY273" si="150">AY263</f>
        <v>42</v>
      </c>
      <c r="AZ273" s="300">
        <f t="shared" ref="AZ273:BA273" si="151">AZ263+1</f>
        <v>13</v>
      </c>
      <c r="BA273" s="300">
        <f t="shared" si="151"/>
        <v>25</v>
      </c>
    </row>
    <row r="274" spans="1:54" s="256" customFormat="1" ht="11.4" customHeight="1">
      <c r="A274" s="240"/>
      <c r="B274" s="341"/>
      <c r="C274" s="346"/>
      <c r="D274" s="348" t="s">
        <v>2414</v>
      </c>
      <c r="E274" s="348"/>
      <c r="F274" s="348"/>
      <c r="G274" s="348"/>
      <c r="H274" s="348"/>
      <c r="I274" s="348"/>
      <c r="J274" s="348"/>
      <c r="K274" s="348"/>
      <c r="L274" s="302" t="s">
        <v>2420</v>
      </c>
      <c r="M274" s="261"/>
      <c r="N274" s="368" t="s">
        <v>46</v>
      </c>
      <c r="O274" s="369"/>
      <c r="P274" s="309">
        <f t="shared" ref="P274" ca="1" si="152">OFFSET($A$1,$AZ274-1,$AY274-1)</f>
        <v>1.1000000000000001</v>
      </c>
      <c r="Q274" s="310"/>
      <c r="R274" s="311" t="str">
        <f t="shared" ref="R274" ca="1" si="153">OFFSET($A$1,$BA274-1,$AY274-1)</f>
        <v>D</v>
      </c>
      <c r="S274" s="312">
        <f t="shared" ref="S274" ca="1" si="154">OFFSET($A$1,$BB274-1,$AY274-1)</f>
        <v>0.33</v>
      </c>
      <c r="T274" s="313"/>
      <c r="U274" s="314">
        <f t="shared" ref="U274:U277" ca="1" si="155">IFERROR(S274/P274,0)</f>
        <v>0.3</v>
      </c>
      <c r="V274" s="315"/>
      <c r="W274" s="316">
        <f t="shared" ref="W274" ca="1" si="156">IF(P274&gt;0,IFERROR((1+P275*(1/(1+P276/P277*P274)^2-1)),1),"")</f>
        <v>2.7515105231239234E-2</v>
      </c>
      <c r="X274" s="317"/>
      <c r="Y274" s="318"/>
      <c r="Z274" s="319">
        <f t="shared" ref="Z274:Z277" ca="1" si="157">IFERROR(ABS(W274*S274),"")</f>
        <v>9.079984726308948E-3</v>
      </c>
      <c r="AA274" s="320"/>
      <c r="AB274" s="321"/>
      <c r="AC274" s="322">
        <f t="shared" ref="AC274" ca="1" si="158">IFERROR(Z274/P279,"")</f>
        <v>4.9763033175355534E-2</v>
      </c>
      <c r="AD274" s="323"/>
      <c r="AE274" s="385">
        <f t="shared" ref="AE274" ca="1" si="159">IFERROR(AL274/AL279,"")</f>
        <v>0.20378551228258313</v>
      </c>
      <c r="AF274" s="386"/>
      <c r="AG274" s="339"/>
      <c r="AH274" s="241"/>
      <c r="AI274" s="262"/>
      <c r="AJ274" s="262"/>
      <c r="AK274" s="262"/>
      <c r="AL274" s="263">
        <f t="shared" ref="AL274:AL277" ca="1" si="160">IFERROR(Z274^2,0)</f>
        <v>8.2446122630003784E-5</v>
      </c>
      <c r="AM274" s="264"/>
      <c r="AN274" s="255"/>
      <c r="AO274" s="240"/>
      <c r="AP274" s="262"/>
      <c r="AY274" s="299">
        <f t="shared" ref="AY274:AY275" si="161">AY273</f>
        <v>42</v>
      </c>
      <c r="AZ274" s="299">
        <f t="shared" ref="AZ274:BB274" si="162">AZ264+1</f>
        <v>37</v>
      </c>
      <c r="BA274" s="299">
        <f t="shared" si="162"/>
        <v>97</v>
      </c>
      <c r="BB274" s="299">
        <f t="shared" si="162"/>
        <v>145</v>
      </c>
    </row>
    <row r="275" spans="1:54" s="256" customFormat="1" ht="11.4" customHeight="1">
      <c r="A275" s="240"/>
      <c r="B275" s="341"/>
      <c r="C275" s="346"/>
      <c r="D275" s="348" t="s">
        <v>2415</v>
      </c>
      <c r="E275" s="348"/>
      <c r="F275" s="348"/>
      <c r="G275" s="348"/>
      <c r="H275" s="348"/>
      <c r="I275" s="348"/>
      <c r="J275" s="348"/>
      <c r="K275" s="348"/>
      <c r="L275" s="302" t="s">
        <v>2421</v>
      </c>
      <c r="M275" s="261"/>
      <c r="N275" s="368" t="s">
        <v>1266</v>
      </c>
      <c r="O275" s="369"/>
      <c r="P275" s="309">
        <f t="shared" ca="1" si="43"/>
        <v>1</v>
      </c>
      <c r="Q275" s="310"/>
      <c r="R275" s="311" t="str">
        <f t="shared" ca="1" si="44"/>
        <v>B</v>
      </c>
      <c r="S275" s="312">
        <f t="shared" ca="1" si="45"/>
        <v>0</v>
      </c>
      <c r="T275" s="313"/>
      <c r="U275" s="314">
        <f t="shared" ca="1" si="155"/>
        <v>0</v>
      </c>
      <c r="V275" s="315"/>
      <c r="W275" s="316">
        <f t="shared" ref="W275" ca="1" si="163">IFERROR((-P274+1/(1/P274+P276/P277)),"")</f>
        <v>-0.91753554502369683</v>
      </c>
      <c r="X275" s="317"/>
      <c r="Y275" s="318"/>
      <c r="Z275" s="319">
        <f t="shared" ca="1" si="157"/>
        <v>0</v>
      </c>
      <c r="AA275" s="320"/>
      <c r="AB275" s="321"/>
      <c r="AC275" s="322">
        <f t="shared" ref="AC275" ca="1" si="164">IFERROR(Z275/P279,"")</f>
        <v>0</v>
      </c>
      <c r="AD275" s="323"/>
      <c r="AE275" s="385">
        <f t="shared" ref="AE275" ca="1" si="165">IFERROR(AL275/AL279,"")</f>
        <v>0</v>
      </c>
      <c r="AF275" s="386"/>
      <c r="AG275" s="339"/>
      <c r="AH275" s="241"/>
      <c r="AI275" s="262"/>
      <c r="AJ275" s="262"/>
      <c r="AK275" s="262"/>
      <c r="AL275" s="263">
        <f t="shared" ca="1" si="160"/>
        <v>0</v>
      </c>
      <c r="AM275" s="264"/>
      <c r="AN275" s="255"/>
      <c r="AO275" s="240"/>
      <c r="AP275" s="262"/>
      <c r="AY275" s="299">
        <f t="shared" si="161"/>
        <v>42</v>
      </c>
      <c r="AZ275" s="299">
        <f t="shared" ref="AZ275:BB275" si="166">AZ265+1</f>
        <v>49</v>
      </c>
      <c r="BA275" s="299">
        <f t="shared" si="166"/>
        <v>109</v>
      </c>
      <c r="BB275" s="299">
        <f t="shared" si="166"/>
        <v>157</v>
      </c>
    </row>
    <row r="276" spans="1:54" s="256" customFormat="1" ht="11.4" customHeight="1">
      <c r="A276" s="240"/>
      <c r="B276" s="341"/>
      <c r="C276" s="346"/>
      <c r="D276" s="348" t="s">
        <v>175</v>
      </c>
      <c r="E276" s="348"/>
      <c r="F276" s="348"/>
      <c r="G276" s="348"/>
      <c r="H276" s="348"/>
      <c r="I276" s="348"/>
      <c r="J276" s="348"/>
      <c r="K276" s="348"/>
      <c r="L276" s="302" t="s">
        <v>2422</v>
      </c>
      <c r="M276" s="261"/>
      <c r="N276" s="368" t="s">
        <v>2416</v>
      </c>
      <c r="O276" s="369"/>
      <c r="P276" s="309">
        <f t="shared" ca="1" si="43"/>
        <v>0.16</v>
      </c>
      <c r="Q276" s="324"/>
      <c r="R276" s="311" t="str">
        <f t="shared" ca="1" si="44"/>
        <v>B</v>
      </c>
      <c r="S276" s="312">
        <f t="shared" ca="1" si="45"/>
        <v>0.01</v>
      </c>
      <c r="T276" s="313"/>
      <c r="U276" s="314">
        <f t="shared" ca="1" si="155"/>
        <v>6.25E-2</v>
      </c>
      <c r="V276" s="315"/>
      <c r="W276" s="316">
        <f t="shared" ref="W276" ca="1" si="167">IFERROR(-P275*P277/(P277/P274+P276)^2,"")</f>
        <v>-0.95123649513712627</v>
      </c>
      <c r="X276" s="317"/>
      <c r="Y276" s="318"/>
      <c r="Z276" s="319">
        <f t="shared" ca="1" si="157"/>
        <v>9.5123649513712636E-3</v>
      </c>
      <c r="AA276" s="320"/>
      <c r="AB276" s="321"/>
      <c r="AC276" s="322">
        <f t="shared" ref="AC276" ca="1" si="168">IFERROR(Z276/P279,"")</f>
        <v>5.2132701421800952E-2</v>
      </c>
      <c r="AD276" s="323"/>
      <c r="AE276" s="385">
        <f t="shared" ref="AE276" ca="1" si="169">IFERROR(AL276/AL279,"")</f>
        <v>0.22365575497680251</v>
      </c>
      <c r="AF276" s="387"/>
      <c r="AG276" s="339"/>
      <c r="AH276" s="241"/>
      <c r="AI276" s="262"/>
      <c r="AJ276" s="262"/>
      <c r="AK276" s="262"/>
      <c r="AL276" s="263">
        <f t="shared" ca="1" si="160"/>
        <v>9.0485086968076416E-5</v>
      </c>
      <c r="AM276" s="264"/>
      <c r="AN276" s="255"/>
      <c r="AO276" s="240"/>
      <c r="AP276" s="262"/>
      <c r="AY276" s="299">
        <f t="shared" si="61"/>
        <v>42</v>
      </c>
      <c r="AZ276" s="299">
        <f t="shared" ref="AZ276:BB276" si="170">AZ266+1</f>
        <v>61</v>
      </c>
      <c r="BA276" s="299">
        <f t="shared" si="170"/>
        <v>121</v>
      </c>
      <c r="BB276" s="299">
        <f t="shared" si="170"/>
        <v>169</v>
      </c>
    </row>
    <row r="277" spans="1:54" s="256" customFormat="1" ht="11.4" customHeight="1">
      <c r="A277" s="240"/>
      <c r="B277" s="341"/>
      <c r="C277" s="346"/>
      <c r="D277" s="348" t="s">
        <v>2417</v>
      </c>
      <c r="E277" s="348"/>
      <c r="F277" s="348"/>
      <c r="G277" s="348"/>
      <c r="H277" s="348"/>
      <c r="I277" s="348"/>
      <c r="J277" s="348"/>
      <c r="K277" s="348"/>
      <c r="L277" s="302" t="s">
        <v>2423</v>
      </c>
      <c r="M277" s="261"/>
      <c r="N277" s="368" t="s">
        <v>45</v>
      </c>
      <c r="O277" s="369"/>
      <c r="P277" s="325">
        <f t="shared" ca="1" si="43"/>
        <v>3.5000000000000003E-2</v>
      </c>
      <c r="Q277" s="324"/>
      <c r="R277" s="311" t="str">
        <f t="shared" ca="1" si="44"/>
        <v>B</v>
      </c>
      <c r="S277" s="326">
        <f t="shared" ca="1" si="45"/>
        <v>3.5000000000000005E-3</v>
      </c>
      <c r="T277" s="327"/>
      <c r="U277" s="314">
        <f t="shared" ca="1" si="155"/>
        <v>0.1</v>
      </c>
      <c r="V277" s="315"/>
      <c r="W277" s="316">
        <f t="shared" ref="W277" ca="1" si="171">IFERROR(P275*P276/(P277/P274+P276)^2,"")</f>
        <v>4.3485096920554343</v>
      </c>
      <c r="X277" s="317"/>
      <c r="Y277" s="318"/>
      <c r="Z277" s="319">
        <f t="shared" ca="1" si="157"/>
        <v>1.5219783922194021E-2</v>
      </c>
      <c r="AA277" s="320"/>
      <c r="AB277" s="321"/>
      <c r="AC277" s="322">
        <f t="shared" ref="AC277" ca="1" si="172">IFERROR(Z277/P279,"")</f>
        <v>8.3412322274881517E-2</v>
      </c>
      <c r="AD277" s="323"/>
      <c r="AE277" s="385">
        <f t="shared" ref="AE277" ca="1" si="173">IFERROR(AL277/AL279,"")</f>
        <v>0.57255873274061442</v>
      </c>
      <c r="AF277" s="387"/>
      <c r="AG277" s="339"/>
      <c r="AH277" s="241"/>
      <c r="AI277" s="262"/>
      <c r="AJ277" s="262"/>
      <c r="AK277" s="262"/>
      <c r="AL277" s="263">
        <f t="shared" ca="1" si="160"/>
        <v>2.3164182263827563E-4</v>
      </c>
      <c r="AM277" s="264"/>
      <c r="AN277" s="255"/>
      <c r="AO277" s="240"/>
      <c r="AP277" s="262"/>
      <c r="AY277" s="299">
        <f t="shared" si="61"/>
        <v>42</v>
      </c>
      <c r="AZ277" s="299">
        <f t="shared" ref="AZ277:BB277" si="174">AZ267+1</f>
        <v>73</v>
      </c>
      <c r="BA277" s="299">
        <f t="shared" si="174"/>
        <v>133</v>
      </c>
      <c r="BB277" s="299">
        <f t="shared" si="174"/>
        <v>181</v>
      </c>
    </row>
    <row r="278" spans="1:54" s="256" customFormat="1" ht="11.4" customHeight="1">
      <c r="A278" s="240"/>
      <c r="B278" s="341"/>
      <c r="C278" s="347"/>
      <c r="D278" s="348"/>
      <c r="E278" s="370" t="s">
        <v>2424</v>
      </c>
      <c r="F278" s="371"/>
      <c r="G278" s="371"/>
      <c r="H278" s="349"/>
      <c r="I278" s="372"/>
      <c r="J278" s="371"/>
      <c r="K278" s="371"/>
      <c r="L278" s="373"/>
      <c r="M278" s="374"/>
      <c r="N278" s="375" t="s">
        <v>46</v>
      </c>
      <c r="O278" s="376"/>
      <c r="P278" s="392">
        <f t="shared" ref="P278" ca="1" si="175">IFERROR(1/(1/P274+P276/P277),"")</f>
        <v>0.18246445497630331</v>
      </c>
      <c r="Q278" s="393"/>
      <c r="R278" s="355"/>
      <c r="S278" s="355"/>
      <c r="T278" s="356"/>
      <c r="U278" s="355"/>
      <c r="V278" s="357"/>
      <c r="W278" s="355"/>
      <c r="X278" s="357"/>
      <c r="Y278" s="357"/>
      <c r="Z278" s="354" t="s">
        <v>2411</v>
      </c>
      <c r="AA278" s="358"/>
      <c r="AB278" s="358"/>
      <c r="AC278" s="359"/>
      <c r="AD278" s="358"/>
      <c r="AE278" s="388"/>
      <c r="AF278" s="389"/>
      <c r="AG278" s="339"/>
      <c r="AH278" s="241"/>
      <c r="AI278" s="240"/>
      <c r="AJ278" s="240"/>
      <c r="AK278" s="240"/>
      <c r="AL278" s="265"/>
      <c r="AM278" s="265"/>
      <c r="AN278" s="255"/>
      <c r="AO278" s="240"/>
      <c r="AU278" s="406" t="s">
        <v>2419</v>
      </c>
      <c r="AW278" s="301"/>
    </row>
    <row r="279" spans="1:54" s="256" customFormat="1" ht="11.4" customHeight="1">
      <c r="A279" s="240"/>
      <c r="B279" s="341"/>
      <c r="C279" s="367" t="s">
        <v>2425</v>
      </c>
      <c r="D279" s="348"/>
      <c r="E279" s="348"/>
      <c r="F279" s="348"/>
      <c r="G279" s="348"/>
      <c r="H279" s="349"/>
      <c r="I279" s="350"/>
      <c r="J279" s="348"/>
      <c r="K279" s="348"/>
      <c r="L279" s="360"/>
      <c r="M279" s="361"/>
      <c r="N279" s="368" t="s">
        <v>46</v>
      </c>
      <c r="O279" s="369"/>
      <c r="P279" s="328">
        <f t="shared" ref="P279" ca="1" si="176">IFERROR((1-P275)*P274+P275*1/(1/P274+P276/P277),P274)</f>
        <v>0.18246445497630331</v>
      </c>
      <c r="Q279" s="329"/>
      <c r="R279" s="362"/>
      <c r="S279" s="362"/>
      <c r="T279" s="363"/>
      <c r="U279" s="362"/>
      <c r="V279" s="364"/>
      <c r="W279" s="362"/>
      <c r="X279" s="364"/>
      <c r="Y279" s="364"/>
      <c r="Z279" s="330">
        <f t="shared" ref="Z279" ca="1" si="177">IF(P274&gt;0,IFERROR(SQRT(SUMPRODUCT(Z274:Z277,Z274:Z277)),""),"")</f>
        <v>2.0114000900774462E-2</v>
      </c>
      <c r="AA279" s="331"/>
      <c r="AB279" s="332"/>
      <c r="AC279" s="322">
        <f t="shared" ref="AC279" ca="1" si="178">IFERROR(Z279/P279,"")</f>
        <v>0.11023517376788082</v>
      </c>
      <c r="AD279" s="323"/>
      <c r="AE279" s="390">
        <f t="shared" ref="AE279" ca="1" si="179">IFERROR(AL279/AL279,"")</f>
        <v>1</v>
      </c>
      <c r="AF279" s="391"/>
      <c r="AG279" s="341"/>
      <c r="AH279" s="241"/>
      <c r="AI279" s="262"/>
      <c r="AJ279" s="262"/>
      <c r="AK279" s="262"/>
      <c r="AL279" s="263">
        <f t="shared" ref="AL279" ca="1" si="180">SUM(AL274:AL277)</f>
        <v>4.0457303223635581E-4</v>
      </c>
      <c r="AM279" s="264"/>
      <c r="AN279" s="255"/>
      <c r="AO279" s="240"/>
      <c r="AP279" s="260"/>
      <c r="AU279" s="403">
        <f t="shared" ref="AU279" ca="1" si="181">OFFSET($A$1,$BA279-1,$AY279-1)</f>
        <v>0.18246445497630331</v>
      </c>
      <c r="AV279" s="404"/>
      <c r="AW279" s="405">
        <f t="shared" ref="AW279" ca="1" si="182">OFFSET($A$1,$BB279-1,$AY279-1)</f>
        <v>2.0114000900774458E-2</v>
      </c>
      <c r="AX279" s="404"/>
      <c r="AY279" s="299">
        <f t="shared" si="61"/>
        <v>42</v>
      </c>
      <c r="BA279" s="299">
        <f t="shared" ref="BA279:BB279" si="183">BA269+1</f>
        <v>85</v>
      </c>
      <c r="BB279" s="299">
        <f t="shared" si="183"/>
        <v>193</v>
      </c>
    </row>
    <row r="280" spans="1:54" s="256" customFormat="1" ht="6" customHeight="1">
      <c r="A280" s="240"/>
      <c r="B280" s="341"/>
      <c r="C280" s="377"/>
      <c r="D280" s="378"/>
      <c r="E280" s="378"/>
      <c r="F280" s="378"/>
      <c r="G280" s="378"/>
      <c r="H280" s="378"/>
      <c r="I280" s="378"/>
      <c r="J280" s="378"/>
      <c r="K280" s="378"/>
      <c r="L280" s="379"/>
      <c r="M280" s="380"/>
      <c r="N280" s="379"/>
      <c r="O280" s="380"/>
      <c r="P280" s="379"/>
      <c r="Q280" s="381"/>
      <c r="R280" s="382"/>
      <c r="S280" s="382"/>
      <c r="T280" s="383"/>
      <c r="U280" s="382"/>
      <c r="V280" s="378"/>
      <c r="W280" s="382"/>
      <c r="X280" s="378"/>
      <c r="Y280" s="378"/>
      <c r="Z280" s="382"/>
      <c r="AA280" s="378"/>
      <c r="AB280" s="378"/>
      <c r="AC280" s="382"/>
      <c r="AD280" s="378"/>
      <c r="AE280" s="382"/>
      <c r="AF280" s="384"/>
      <c r="AG280" s="339"/>
      <c r="AH280" s="241"/>
      <c r="AI280" s="240"/>
      <c r="AJ280" s="240"/>
      <c r="AK280" s="240"/>
      <c r="AL280" s="240"/>
      <c r="AM280" s="240"/>
      <c r="AN280" s="255"/>
      <c r="AO280" s="240"/>
      <c r="AP280" s="260"/>
    </row>
    <row r="281" spans="1:54" s="256" customFormat="1" ht="12" customHeight="1">
      <c r="A281" s="240"/>
      <c r="B281" s="407"/>
      <c r="C281" s="416" t="s">
        <v>2431</v>
      </c>
      <c r="D281" s="416"/>
      <c r="E281" s="416"/>
      <c r="F281" s="413">
        <f>Date_WorkbookVersion</f>
        <v>44330</v>
      </c>
      <c r="G281" s="413"/>
      <c r="H281" s="413"/>
      <c r="I281" s="414"/>
      <c r="J281" s="414"/>
      <c r="K281" s="414"/>
      <c r="L281" s="414"/>
      <c r="M281" s="414"/>
      <c r="N281" s="414"/>
      <c r="O281" s="414"/>
      <c r="P281" s="414"/>
      <c r="Q281" s="414"/>
      <c r="R281" s="414"/>
      <c r="S281" s="414"/>
      <c r="T281" s="414"/>
      <c r="U281" s="414"/>
      <c r="V281" s="414"/>
      <c r="W281" s="414"/>
      <c r="X281" s="414"/>
      <c r="Y281" s="414"/>
      <c r="Z281" s="414"/>
      <c r="AA281" s="414"/>
      <c r="AB281" s="417" t="s">
        <v>2173</v>
      </c>
      <c r="AC281" s="417"/>
      <c r="AD281" s="415">
        <f ca="1">DateTime_Current</f>
        <v>44330.603352893515</v>
      </c>
      <c r="AE281" s="415"/>
      <c r="AF281" s="415"/>
      <c r="AG281" s="408"/>
      <c r="AH281" s="241"/>
      <c r="AI281" s="240"/>
      <c r="AJ281" s="240"/>
      <c r="AK281" s="240"/>
      <c r="AL281" s="240"/>
      <c r="AM281" s="240"/>
      <c r="AN281" s="255"/>
      <c r="AO281" s="240"/>
      <c r="AP281" s="260"/>
    </row>
    <row r="282" spans="1:54" s="256" customFormat="1" ht="9" customHeight="1">
      <c r="A282" s="240"/>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243"/>
      <c r="AF282" s="243"/>
      <c r="AG282" s="243"/>
      <c r="AH282" s="240"/>
      <c r="AI282" s="240"/>
      <c r="AJ282" s="240"/>
      <c r="AK282" s="240"/>
      <c r="AL282" s="240"/>
      <c r="AM282" s="240"/>
      <c r="AN282" s="255"/>
      <c r="AO282" s="255"/>
      <c r="AP282" s="255"/>
    </row>
    <row r="283" spans="1:54" s="256" customFormat="1" ht="15" customHeight="1">
      <c r="A283" s="240"/>
      <c r="B283" s="409"/>
      <c r="C283" s="409"/>
      <c r="D283" s="409"/>
      <c r="E283" s="409"/>
      <c r="F283" s="409"/>
      <c r="G283" s="409"/>
      <c r="H283" s="409"/>
      <c r="I283" s="409"/>
      <c r="J283" s="409"/>
      <c r="K283" s="409"/>
      <c r="L283" s="409"/>
      <c r="M283" s="409"/>
      <c r="N283" s="409"/>
      <c r="O283" s="409"/>
      <c r="P283" s="409"/>
      <c r="Q283" s="409"/>
      <c r="R283" s="409"/>
      <c r="S283" s="409"/>
      <c r="T283" s="409"/>
      <c r="U283" s="409"/>
      <c r="V283" s="409"/>
      <c r="W283" s="409"/>
      <c r="X283" s="409"/>
      <c r="Y283" s="409"/>
      <c r="Z283" s="409"/>
      <c r="AA283" s="409"/>
      <c r="AB283" s="409"/>
      <c r="AC283" s="409"/>
      <c r="AD283" s="409"/>
      <c r="AE283" s="409"/>
      <c r="AF283" s="409"/>
      <c r="AG283" s="409"/>
      <c r="AH283" s="240"/>
      <c r="AI283" s="240"/>
      <c r="AJ283" s="240"/>
      <c r="AK283" s="240"/>
      <c r="AL283" s="240"/>
      <c r="AM283" s="240"/>
      <c r="AN283" s="255"/>
      <c r="AO283" s="255"/>
      <c r="AP283" s="255"/>
    </row>
    <row r="284" spans="1:54" s="256" customFormat="1" ht="22.5" customHeight="1">
      <c r="A284" s="240"/>
      <c r="B284" s="257"/>
      <c r="C284" s="257"/>
      <c r="D284" s="258"/>
      <c r="E284" s="258"/>
      <c r="F284" s="410" t="s">
        <v>2428</v>
      </c>
      <c r="G284" s="412"/>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2" t="s">
        <v>2426</v>
      </c>
      <c r="AG284" s="259"/>
      <c r="AH284" s="240"/>
      <c r="AI284" s="240"/>
      <c r="AJ284" s="240"/>
      <c r="AK284" s="240"/>
      <c r="AL284" s="240"/>
      <c r="AM284" s="240"/>
      <c r="AN284" s="255"/>
      <c r="AO284" s="240"/>
      <c r="AP284" s="240"/>
    </row>
    <row r="285" spans="1:54" s="256" customFormat="1" ht="15" customHeight="1">
      <c r="A285" s="240"/>
      <c r="B285" s="336"/>
      <c r="C285" s="337"/>
      <c r="D285" s="336"/>
      <c r="E285" s="336"/>
      <c r="F285" s="338" t="s">
        <v>2427</v>
      </c>
      <c r="G285" s="336"/>
      <c r="H285" s="336"/>
      <c r="I285" s="336"/>
      <c r="J285" s="336"/>
      <c r="K285" s="336"/>
      <c r="L285" s="336"/>
      <c r="M285" s="336"/>
      <c r="N285" s="336"/>
      <c r="O285" s="336"/>
      <c r="P285" s="336"/>
      <c r="Q285" s="336"/>
      <c r="R285" s="336"/>
      <c r="S285" s="336"/>
      <c r="T285" s="336"/>
      <c r="U285" s="336"/>
      <c r="V285" s="336"/>
      <c r="W285" s="336"/>
      <c r="X285" s="336"/>
      <c r="Y285" s="336"/>
      <c r="Z285" s="336"/>
      <c r="AA285" s="336"/>
      <c r="AB285" s="336"/>
      <c r="AC285" s="336"/>
      <c r="AD285" s="336"/>
      <c r="AE285" s="336"/>
      <c r="AF285" s="336"/>
      <c r="AG285" s="336"/>
      <c r="AH285" s="240"/>
      <c r="AI285" s="240"/>
      <c r="AJ285" s="240"/>
      <c r="AK285" s="240"/>
      <c r="AL285" s="240"/>
      <c r="AM285" s="240"/>
      <c r="AN285" s="255"/>
      <c r="AO285" s="240"/>
      <c r="AP285" s="260"/>
    </row>
    <row r="286" spans="1:54" s="256" customFormat="1" ht="15" customHeight="1">
      <c r="A286" s="240"/>
      <c r="B286" s="339"/>
      <c r="C286" s="339"/>
      <c r="D286" s="339"/>
      <c r="E286" s="339"/>
      <c r="F286" s="339"/>
      <c r="G286" s="339"/>
      <c r="H286" s="340"/>
      <c r="I286" s="339"/>
      <c r="J286" s="339"/>
      <c r="K286" s="339"/>
      <c r="L286" s="339"/>
      <c r="M286" s="339"/>
      <c r="N286" s="339"/>
      <c r="O286" s="339"/>
      <c r="P286" s="339"/>
      <c r="Q286" s="339"/>
      <c r="R286" s="339"/>
      <c r="S286" s="339"/>
      <c r="T286" s="339"/>
      <c r="U286" s="339"/>
      <c r="V286" s="339"/>
      <c r="W286" s="339"/>
      <c r="X286" s="339"/>
      <c r="Y286" s="339"/>
      <c r="Z286" s="339"/>
      <c r="AA286" s="339"/>
      <c r="AB286" s="339"/>
      <c r="AC286" s="339"/>
      <c r="AD286" s="340"/>
      <c r="AE286" s="339"/>
      <c r="AF286" s="339"/>
      <c r="AG286" s="339"/>
      <c r="AH286" s="240"/>
      <c r="AI286" s="240"/>
      <c r="AJ286" s="240"/>
      <c r="AK286" s="240"/>
      <c r="AL286" s="240"/>
      <c r="AM286" s="240"/>
      <c r="AN286" s="255"/>
      <c r="AO286" s="240"/>
      <c r="AP286" s="260"/>
    </row>
    <row r="287" spans="1:54" s="256" customFormat="1" ht="12" customHeight="1">
      <c r="A287" s="240"/>
      <c r="B287" s="341"/>
      <c r="C287" s="342" t="s">
        <v>2412</v>
      </c>
      <c r="D287" s="339"/>
      <c r="E287" s="339"/>
      <c r="F287" s="339"/>
      <c r="G287" s="339"/>
      <c r="H287" s="339"/>
      <c r="I287" s="339"/>
      <c r="J287" s="339"/>
      <c r="K287" s="339"/>
      <c r="L287" s="343"/>
      <c r="M287" s="339"/>
      <c r="N287" s="343"/>
      <c r="O287" s="339"/>
      <c r="P287" s="343"/>
      <c r="Q287" s="344"/>
      <c r="R287" s="339"/>
      <c r="S287" s="339"/>
      <c r="T287" s="345"/>
      <c r="U287" s="339"/>
      <c r="V287" s="339"/>
      <c r="W287" s="343"/>
      <c r="X287" s="339"/>
      <c r="Y287" s="339"/>
      <c r="Z287" s="343"/>
      <c r="AA287" s="339"/>
      <c r="AB287" s="339"/>
      <c r="AC287" s="339"/>
      <c r="AD287" s="339"/>
      <c r="AE287" s="343"/>
      <c r="AF287" s="344"/>
      <c r="AG287" s="339"/>
      <c r="AH287" s="241"/>
      <c r="AI287" s="240"/>
      <c r="AJ287" s="240"/>
      <c r="AK287" s="240"/>
      <c r="AL287" s="240"/>
      <c r="AM287" s="240"/>
      <c r="AN287" s="255"/>
      <c r="AO287" s="240"/>
      <c r="AP287" s="260"/>
    </row>
    <row r="288" spans="1:54" s="256" customFormat="1" ht="12" customHeight="1">
      <c r="A288" s="240"/>
      <c r="B288" s="341"/>
      <c r="C288" s="342" t="s">
        <v>2413</v>
      </c>
      <c r="D288" s="339"/>
      <c r="E288" s="339"/>
      <c r="F288" s="339"/>
      <c r="G288" s="339"/>
      <c r="H288" s="339"/>
      <c r="I288" s="339"/>
      <c r="J288" s="339"/>
      <c r="K288" s="339"/>
      <c r="L288" s="343"/>
      <c r="M288" s="339"/>
      <c r="N288" s="343"/>
      <c r="O288" s="339"/>
      <c r="P288" s="343"/>
      <c r="Q288" s="344"/>
      <c r="R288" s="339"/>
      <c r="S288" s="339"/>
      <c r="T288" s="345"/>
      <c r="U288" s="339"/>
      <c r="V288" s="339"/>
      <c r="W288" s="343"/>
      <c r="X288" s="339"/>
      <c r="Y288" s="339"/>
      <c r="Z288" s="343"/>
      <c r="AA288" s="339"/>
      <c r="AB288" s="339"/>
      <c r="AC288" s="339"/>
      <c r="AD288" s="339"/>
      <c r="AE288" s="343"/>
      <c r="AF288" s="344"/>
      <c r="AG288" s="339"/>
      <c r="AH288" s="241"/>
      <c r="AI288" s="240"/>
      <c r="AJ288" s="240"/>
      <c r="AK288" s="240"/>
      <c r="AL288" s="240"/>
      <c r="AM288" s="240"/>
      <c r="AN288" s="255"/>
      <c r="AO288" s="240"/>
      <c r="AP288" s="260"/>
    </row>
    <row r="289" spans="1:54" s="256" customFormat="1" ht="12" customHeight="1">
      <c r="A289" s="240"/>
      <c r="B289" s="341"/>
      <c r="C289" s="339"/>
      <c r="D289" s="339"/>
      <c r="E289" s="339"/>
      <c r="F289" s="339"/>
      <c r="G289" s="339"/>
      <c r="H289" s="339"/>
      <c r="I289" s="339"/>
      <c r="J289" s="339"/>
      <c r="K289" s="339"/>
      <c r="L289" s="343"/>
      <c r="M289" s="339"/>
      <c r="N289" s="343"/>
      <c r="O289" s="339"/>
      <c r="P289" s="343"/>
      <c r="Q289" s="344"/>
      <c r="R289" s="339"/>
      <c r="S289" s="339"/>
      <c r="T289" s="345"/>
      <c r="U289" s="339"/>
      <c r="V289" s="339"/>
      <c r="W289" s="343"/>
      <c r="X289" s="339"/>
      <c r="Y289" s="339"/>
      <c r="Z289" s="343"/>
      <c r="AA289" s="339"/>
      <c r="AB289" s="339"/>
      <c r="AC289" s="339"/>
      <c r="AD289" s="339"/>
      <c r="AE289" s="343"/>
      <c r="AF289" s="344"/>
      <c r="AG289" s="339"/>
      <c r="AH289" s="241"/>
      <c r="AI289" s="240"/>
      <c r="AJ289" s="240"/>
      <c r="AK289" s="240"/>
      <c r="AL289" s="240"/>
      <c r="AM289" s="240"/>
      <c r="AN289" s="255"/>
      <c r="AO289" s="240"/>
      <c r="AP289" s="260"/>
    </row>
    <row r="290" spans="1:54" s="256" customFormat="1" ht="12" customHeight="1">
      <c r="A290" s="240"/>
      <c r="B290" s="341"/>
      <c r="C290" s="348"/>
      <c r="D290" s="348"/>
      <c r="E290" s="348"/>
      <c r="F290" s="348"/>
      <c r="G290" s="348"/>
      <c r="H290" s="348"/>
      <c r="I290" s="348"/>
      <c r="J290" s="348"/>
      <c r="K290" s="348"/>
      <c r="L290" s="343"/>
      <c r="M290" s="348"/>
      <c r="N290" s="343"/>
      <c r="O290" s="348"/>
      <c r="P290" s="343"/>
      <c r="Q290" s="344"/>
      <c r="R290" s="343"/>
      <c r="S290" s="343"/>
      <c r="T290" s="344"/>
      <c r="U290" s="343"/>
      <c r="V290" s="348"/>
      <c r="W290" s="343"/>
      <c r="X290" s="348"/>
      <c r="Y290" s="348"/>
      <c r="Z290" s="343"/>
      <c r="AA290" s="348"/>
      <c r="AB290" s="348"/>
      <c r="AC290" s="343"/>
      <c r="AD290" s="348"/>
      <c r="AE290" s="343"/>
      <c r="AF290" s="344"/>
      <c r="AG290" s="339"/>
      <c r="AH290" s="241"/>
      <c r="AI290" s="240"/>
      <c r="AJ290" s="240"/>
      <c r="AK290" s="240"/>
      <c r="AL290" s="240"/>
      <c r="AM290" s="240"/>
      <c r="AN290" s="255"/>
      <c r="AO290" s="240"/>
      <c r="AP290" s="260"/>
    </row>
    <row r="291" spans="1:54" s="256" customFormat="1" ht="6" customHeight="1">
      <c r="A291" s="240"/>
      <c r="B291" s="341"/>
      <c r="C291" s="400"/>
      <c r="D291" s="400"/>
      <c r="E291" s="400"/>
      <c r="F291" s="400"/>
      <c r="G291" s="400"/>
      <c r="H291" s="400"/>
      <c r="I291" s="400"/>
      <c r="J291" s="400"/>
      <c r="K291" s="400"/>
      <c r="L291" s="401"/>
      <c r="M291" s="400"/>
      <c r="N291" s="401"/>
      <c r="O291" s="400"/>
      <c r="P291" s="401"/>
      <c r="Q291" s="402"/>
      <c r="R291" s="401"/>
      <c r="S291" s="401"/>
      <c r="T291" s="402"/>
      <c r="U291" s="401"/>
      <c r="V291" s="400"/>
      <c r="W291" s="401"/>
      <c r="X291" s="400"/>
      <c r="Y291" s="400"/>
      <c r="Z291" s="401"/>
      <c r="AA291" s="400"/>
      <c r="AB291" s="400"/>
      <c r="AC291" s="401"/>
      <c r="AD291" s="400"/>
      <c r="AE291" s="401"/>
      <c r="AF291" s="402"/>
      <c r="AG291" s="339"/>
      <c r="AH291" s="241"/>
      <c r="AI291" s="240"/>
      <c r="AJ291" s="240"/>
      <c r="AK291" s="240"/>
      <c r="AL291" s="240"/>
      <c r="AM291" s="240"/>
      <c r="AN291" s="255"/>
      <c r="AO291" s="240"/>
      <c r="AP291" s="260"/>
    </row>
    <row r="292" spans="1:54" s="256" customFormat="1" ht="11.4" customHeight="1">
      <c r="A292" s="240"/>
      <c r="B292" s="341"/>
      <c r="C292" s="394" t="str">
        <f t="shared" ref="C292" ca="1" si="184">OFFSET($A$1,$AZ293-1,$AY293-1)</f>
        <v>C.A.007</v>
      </c>
      <c r="D292" s="365"/>
      <c r="E292" s="365"/>
      <c r="F292" s="365"/>
      <c r="G292" s="365"/>
      <c r="H292" s="365"/>
      <c r="I292" s="365"/>
      <c r="J292" s="365"/>
      <c r="K292" s="366"/>
      <c r="L292" s="395" t="str">
        <f t="shared" ref="L292" ca="1" si="185">OFFSET($A$1,$BA293-1,$AY293-1)</f>
        <v>Building from 1960, insulation upgrade: d = 16 cm | f = 1.00 | Lambda = 0.035 | design data with quality assurance</v>
      </c>
      <c r="M292" s="396"/>
      <c r="N292" s="396"/>
      <c r="O292" s="396"/>
      <c r="P292" s="396"/>
      <c r="Q292" s="396"/>
      <c r="R292" s="397"/>
      <c r="S292" s="397"/>
      <c r="T292" s="398"/>
      <c r="U292" s="396"/>
      <c r="V292" s="396"/>
      <c r="W292" s="396"/>
      <c r="X292" s="396"/>
      <c r="Y292" s="396"/>
      <c r="Z292" s="396"/>
      <c r="AA292" s="396"/>
      <c r="AB292" s="396"/>
      <c r="AC292" s="396"/>
      <c r="AD292" s="396"/>
      <c r="AE292" s="396"/>
      <c r="AF292" s="399"/>
      <c r="AG292" s="339"/>
      <c r="AH292" s="241"/>
      <c r="AI292" s="240"/>
      <c r="AJ292" s="240"/>
      <c r="AK292" s="240"/>
      <c r="AL292" s="240"/>
      <c r="AM292" s="240"/>
      <c r="AN292" s="255"/>
      <c r="AO292" s="240"/>
      <c r="AP292" s="260"/>
    </row>
    <row r="293" spans="1:54" s="256" customFormat="1" ht="11.4" customHeight="1">
      <c r="A293" s="240"/>
      <c r="B293" s="341"/>
      <c r="C293" s="333"/>
      <c r="D293" s="334"/>
      <c r="E293" s="334"/>
      <c r="F293" s="334"/>
      <c r="G293" s="334"/>
      <c r="H293" s="334"/>
      <c r="I293" s="334"/>
      <c r="J293" s="334"/>
      <c r="K293" s="335"/>
      <c r="L293" s="343"/>
      <c r="M293" s="348"/>
      <c r="N293" s="343"/>
      <c r="O293" s="348"/>
      <c r="P293" s="343"/>
      <c r="Q293" s="348"/>
      <c r="R293" s="343"/>
      <c r="S293" s="343"/>
      <c r="T293" s="351"/>
      <c r="U293" s="343"/>
      <c r="V293" s="348"/>
      <c r="W293" s="343"/>
      <c r="X293" s="348"/>
      <c r="Y293" s="348"/>
      <c r="Z293" s="343"/>
      <c r="AA293" s="348"/>
      <c r="AB293" s="352" t="s">
        <v>46</v>
      </c>
      <c r="AC293" s="343"/>
      <c r="AD293" s="353"/>
      <c r="AE293" s="343"/>
      <c r="AF293" s="344"/>
      <c r="AG293" s="339"/>
      <c r="AH293" s="241"/>
      <c r="AI293" s="240"/>
      <c r="AJ293" s="240"/>
      <c r="AK293" s="240"/>
      <c r="AL293" s="240"/>
      <c r="AM293" s="240"/>
      <c r="AN293" s="255"/>
      <c r="AO293" s="240"/>
      <c r="AP293" s="260"/>
      <c r="AY293" s="299">
        <f t="shared" ref="AY293" si="186">AY273</f>
        <v>42</v>
      </c>
      <c r="AZ293" s="300">
        <f t="shared" ref="AZ293:BA293" si="187">AZ273+1</f>
        <v>14</v>
      </c>
      <c r="BA293" s="300">
        <f t="shared" si="187"/>
        <v>26</v>
      </c>
    </row>
    <row r="294" spans="1:54" s="256" customFormat="1" ht="11.4" customHeight="1">
      <c r="A294" s="240"/>
      <c r="B294" s="341"/>
      <c r="C294" s="346"/>
      <c r="D294" s="348" t="s">
        <v>2414</v>
      </c>
      <c r="E294" s="348"/>
      <c r="F294" s="348"/>
      <c r="G294" s="348"/>
      <c r="H294" s="348"/>
      <c r="I294" s="348"/>
      <c r="J294" s="348"/>
      <c r="K294" s="348"/>
      <c r="L294" s="302" t="s">
        <v>2420</v>
      </c>
      <c r="M294" s="261"/>
      <c r="N294" s="368" t="s">
        <v>46</v>
      </c>
      <c r="O294" s="369"/>
      <c r="P294" s="309">
        <f t="shared" ref="P294" ca="1" si="188">OFFSET($A$1,$AZ294-1,$AY294-1)</f>
        <v>1.1000000000000001</v>
      </c>
      <c r="Q294" s="310"/>
      <c r="R294" s="311" t="str">
        <f t="shared" ref="R294" ca="1" si="189">OFFSET($A$1,$BA294-1,$AY294-1)</f>
        <v>D</v>
      </c>
      <c r="S294" s="312">
        <f t="shared" ref="S294" ca="1" si="190">OFFSET($A$1,$BB294-1,$AY294-1)</f>
        <v>0.33</v>
      </c>
      <c r="T294" s="313"/>
      <c r="U294" s="314">
        <f t="shared" ref="U294:U325" ca="1" si="191">IFERROR(S294/P294,0)</f>
        <v>0.3</v>
      </c>
      <c r="V294" s="315"/>
      <c r="W294" s="316">
        <f t="shared" ref="W294" ca="1" si="192">IF(P294&gt;0,IFERROR((1+P295*(1/(1+P296/P297*P294)^2-1)),1),"")</f>
        <v>2.7515105231239234E-2</v>
      </c>
      <c r="X294" s="317"/>
      <c r="Y294" s="318"/>
      <c r="Z294" s="319">
        <f t="shared" ref="Z294:Z325" ca="1" si="193">IFERROR(ABS(W294*S294),"")</f>
        <v>9.079984726308948E-3</v>
      </c>
      <c r="AA294" s="320"/>
      <c r="AB294" s="321"/>
      <c r="AC294" s="322">
        <f t="shared" ref="AC294" ca="1" si="194">IFERROR(Z294/P299,"")</f>
        <v>4.9763033175355534E-2</v>
      </c>
      <c r="AD294" s="323"/>
      <c r="AE294" s="385">
        <f t="shared" ref="AE294" ca="1" si="195">IFERROR(AL294/AL299,"")</f>
        <v>0.50587317610351556</v>
      </c>
      <c r="AF294" s="386"/>
      <c r="AG294" s="339"/>
      <c r="AH294" s="241"/>
      <c r="AI294" s="262"/>
      <c r="AJ294" s="262"/>
      <c r="AK294" s="262"/>
      <c r="AL294" s="263">
        <f t="shared" ref="AL294:AL325" ca="1" si="196">IFERROR(Z294^2,0)</f>
        <v>8.2446122630003784E-5</v>
      </c>
      <c r="AM294" s="264"/>
      <c r="AN294" s="255"/>
      <c r="AO294" s="240"/>
      <c r="AP294" s="262"/>
      <c r="AY294" s="299">
        <f t="shared" ref="AY294:AY325" si="197">AY293</f>
        <v>42</v>
      </c>
      <c r="AZ294" s="299">
        <f t="shared" ref="AZ294:BB294" si="198">AZ274+1</f>
        <v>38</v>
      </c>
      <c r="BA294" s="299">
        <f t="shared" si="198"/>
        <v>98</v>
      </c>
      <c r="BB294" s="299">
        <f t="shared" si="198"/>
        <v>146</v>
      </c>
    </row>
    <row r="295" spans="1:54" s="256" customFormat="1" ht="11.4" customHeight="1">
      <c r="A295" s="240"/>
      <c r="B295" s="341"/>
      <c r="C295" s="346"/>
      <c r="D295" s="348" t="s">
        <v>2415</v>
      </c>
      <c r="E295" s="348"/>
      <c r="F295" s="348"/>
      <c r="G295" s="348"/>
      <c r="H295" s="348"/>
      <c r="I295" s="348"/>
      <c r="J295" s="348"/>
      <c r="K295" s="348"/>
      <c r="L295" s="302" t="s">
        <v>2421</v>
      </c>
      <c r="M295" s="261"/>
      <c r="N295" s="368" t="s">
        <v>1266</v>
      </c>
      <c r="O295" s="369"/>
      <c r="P295" s="309">
        <f t="shared" ca="1" si="43"/>
        <v>1</v>
      </c>
      <c r="Q295" s="310"/>
      <c r="R295" s="311" t="str">
        <f t="shared" ca="1" si="44"/>
        <v>A</v>
      </c>
      <c r="S295" s="312">
        <f t="shared" ca="1" si="45"/>
        <v>0</v>
      </c>
      <c r="T295" s="313"/>
      <c r="U295" s="314">
        <f t="shared" ca="1" si="191"/>
        <v>0</v>
      </c>
      <c r="V295" s="315"/>
      <c r="W295" s="316">
        <f t="shared" ref="W295" ca="1" si="199">IFERROR((-P294+1/(1/P294+P296/P297)),"")</f>
        <v>-0.91753554502369683</v>
      </c>
      <c r="X295" s="317"/>
      <c r="Y295" s="318"/>
      <c r="Z295" s="319">
        <f t="shared" ca="1" si="193"/>
        <v>0</v>
      </c>
      <c r="AA295" s="320"/>
      <c r="AB295" s="321"/>
      <c r="AC295" s="322">
        <f t="shared" ref="AC295" ca="1" si="200">IFERROR(Z295/P299,"")</f>
        <v>0</v>
      </c>
      <c r="AD295" s="323"/>
      <c r="AE295" s="385">
        <f t="shared" ref="AE295" ca="1" si="201">IFERROR(AL295/AL299,"")</f>
        <v>0</v>
      </c>
      <c r="AF295" s="386"/>
      <c r="AG295" s="339"/>
      <c r="AH295" s="241"/>
      <c r="AI295" s="262"/>
      <c r="AJ295" s="262"/>
      <c r="AK295" s="262"/>
      <c r="AL295" s="263">
        <f t="shared" ca="1" si="196"/>
        <v>0</v>
      </c>
      <c r="AM295" s="264"/>
      <c r="AN295" s="255"/>
      <c r="AO295" s="240"/>
      <c r="AP295" s="262"/>
      <c r="AY295" s="299">
        <f t="shared" si="197"/>
        <v>42</v>
      </c>
      <c r="AZ295" s="299">
        <f t="shared" ref="AZ295:BB295" si="202">AZ275+1</f>
        <v>50</v>
      </c>
      <c r="BA295" s="299">
        <f t="shared" si="202"/>
        <v>110</v>
      </c>
      <c r="BB295" s="299">
        <f t="shared" si="202"/>
        <v>158</v>
      </c>
    </row>
    <row r="296" spans="1:54" s="256" customFormat="1" ht="11.4" customHeight="1">
      <c r="A296" s="240"/>
      <c r="B296" s="341"/>
      <c r="C296" s="346"/>
      <c r="D296" s="348" t="s">
        <v>175</v>
      </c>
      <c r="E296" s="348"/>
      <c r="F296" s="348"/>
      <c r="G296" s="348"/>
      <c r="H296" s="348"/>
      <c r="I296" s="348"/>
      <c r="J296" s="348"/>
      <c r="K296" s="348"/>
      <c r="L296" s="302" t="s">
        <v>2422</v>
      </c>
      <c r="M296" s="261"/>
      <c r="N296" s="368" t="s">
        <v>2416</v>
      </c>
      <c r="O296" s="369"/>
      <c r="P296" s="309">
        <f t="shared" ca="1" si="43"/>
        <v>0.16</v>
      </c>
      <c r="Q296" s="324"/>
      <c r="R296" s="311" t="str">
        <f t="shared" ca="1" si="44"/>
        <v>A</v>
      </c>
      <c r="S296" s="312">
        <f t="shared" ca="1" si="45"/>
        <v>5.0000000000000001E-3</v>
      </c>
      <c r="T296" s="313"/>
      <c r="U296" s="314">
        <f t="shared" ca="1" si="191"/>
        <v>3.125E-2</v>
      </c>
      <c r="V296" s="315"/>
      <c r="W296" s="316">
        <f t="shared" ref="W296" ca="1" si="203">IFERROR(-P295*P297/(P297/P294+P296)^2,"")</f>
        <v>-0.95123649513712627</v>
      </c>
      <c r="X296" s="317"/>
      <c r="Y296" s="318"/>
      <c r="Z296" s="319">
        <f t="shared" ca="1" si="193"/>
        <v>4.7561824756856318E-3</v>
      </c>
      <c r="AA296" s="320"/>
      <c r="AB296" s="321"/>
      <c r="AC296" s="322">
        <f t="shared" ref="AC296" ca="1" si="204">IFERROR(Z296/P299,"")</f>
        <v>2.6066350710900476E-2</v>
      </c>
      <c r="AD296" s="323"/>
      <c r="AE296" s="385">
        <f t="shared" ref="AE296" ca="1" si="205">IFERROR(AL296/AL299,"")</f>
        <v>0.13879966963384394</v>
      </c>
      <c r="AF296" s="387"/>
      <c r="AG296" s="339"/>
      <c r="AH296" s="241"/>
      <c r="AI296" s="262"/>
      <c r="AJ296" s="262"/>
      <c r="AK296" s="262"/>
      <c r="AL296" s="263">
        <f t="shared" ca="1" si="196"/>
        <v>2.2621271742019104E-5</v>
      </c>
      <c r="AM296" s="264"/>
      <c r="AN296" s="255"/>
      <c r="AO296" s="240"/>
      <c r="AP296" s="262"/>
      <c r="AY296" s="299">
        <f t="shared" si="61"/>
        <v>42</v>
      </c>
      <c r="AZ296" s="299">
        <f t="shared" ref="AZ296:BB296" si="206">AZ276+1</f>
        <v>62</v>
      </c>
      <c r="BA296" s="299">
        <f t="shared" si="206"/>
        <v>122</v>
      </c>
      <c r="BB296" s="299">
        <f t="shared" si="206"/>
        <v>170</v>
      </c>
    </row>
    <row r="297" spans="1:54" s="256" customFormat="1" ht="11.4" customHeight="1">
      <c r="A297" s="240"/>
      <c r="B297" s="341"/>
      <c r="C297" s="346"/>
      <c r="D297" s="348" t="s">
        <v>2417</v>
      </c>
      <c r="E297" s="348"/>
      <c r="F297" s="348"/>
      <c r="G297" s="348"/>
      <c r="H297" s="348"/>
      <c r="I297" s="348"/>
      <c r="J297" s="348"/>
      <c r="K297" s="348"/>
      <c r="L297" s="302" t="s">
        <v>2423</v>
      </c>
      <c r="M297" s="261"/>
      <c r="N297" s="368" t="s">
        <v>45</v>
      </c>
      <c r="O297" s="369"/>
      <c r="P297" s="325">
        <f t="shared" ca="1" si="43"/>
        <v>3.5000000000000003E-2</v>
      </c>
      <c r="Q297" s="324"/>
      <c r="R297" s="311" t="str">
        <f t="shared" ca="1" si="44"/>
        <v>A</v>
      </c>
      <c r="S297" s="326">
        <f t="shared" ca="1" si="45"/>
        <v>1.7500000000000003E-3</v>
      </c>
      <c r="T297" s="327"/>
      <c r="U297" s="314">
        <f t="shared" ca="1" si="191"/>
        <v>0.05</v>
      </c>
      <c r="V297" s="315"/>
      <c r="W297" s="316">
        <f t="shared" ref="W297" ca="1" si="207">IFERROR(P295*P296/(P297/P294+P296)^2,"")</f>
        <v>4.3485096920554343</v>
      </c>
      <c r="X297" s="317"/>
      <c r="Y297" s="318"/>
      <c r="Z297" s="319">
        <f t="shared" ca="1" si="193"/>
        <v>7.6098919610970107E-3</v>
      </c>
      <c r="AA297" s="320"/>
      <c r="AB297" s="321"/>
      <c r="AC297" s="322">
        <f t="shared" ref="AC297" ca="1" si="208">IFERROR(Z297/P299,"")</f>
        <v>4.1706161137440759E-2</v>
      </c>
      <c r="AD297" s="323"/>
      <c r="AE297" s="385">
        <f t="shared" ref="AE297" ca="1" si="209">IFERROR(AL297/AL299,"")</f>
        <v>0.3553271542626405</v>
      </c>
      <c r="AF297" s="387"/>
      <c r="AG297" s="339"/>
      <c r="AH297" s="241"/>
      <c r="AI297" s="262"/>
      <c r="AJ297" s="262"/>
      <c r="AK297" s="262"/>
      <c r="AL297" s="263">
        <f t="shared" ca="1" si="196"/>
        <v>5.7910455659568907E-5</v>
      </c>
      <c r="AM297" s="264"/>
      <c r="AN297" s="255"/>
      <c r="AO297" s="240"/>
      <c r="AP297" s="262"/>
      <c r="AY297" s="299">
        <f t="shared" si="61"/>
        <v>42</v>
      </c>
      <c r="AZ297" s="299">
        <f t="shared" ref="AZ297:BB297" si="210">AZ277+1</f>
        <v>74</v>
      </c>
      <c r="BA297" s="299">
        <f t="shared" si="210"/>
        <v>134</v>
      </c>
      <c r="BB297" s="299">
        <f t="shared" si="210"/>
        <v>182</v>
      </c>
    </row>
    <row r="298" spans="1:54" s="256" customFormat="1" ht="11.4" customHeight="1">
      <c r="A298" s="240"/>
      <c r="B298" s="341"/>
      <c r="C298" s="347"/>
      <c r="D298" s="348"/>
      <c r="E298" s="370" t="s">
        <v>2424</v>
      </c>
      <c r="F298" s="371"/>
      <c r="G298" s="371"/>
      <c r="H298" s="349"/>
      <c r="I298" s="372"/>
      <c r="J298" s="371"/>
      <c r="K298" s="371"/>
      <c r="L298" s="373"/>
      <c r="M298" s="374"/>
      <c r="N298" s="375" t="s">
        <v>46</v>
      </c>
      <c r="O298" s="376"/>
      <c r="P298" s="392">
        <f t="shared" ref="P298" ca="1" si="211">IFERROR(1/(1/P294+P296/P297),"")</f>
        <v>0.18246445497630331</v>
      </c>
      <c r="Q298" s="393"/>
      <c r="R298" s="355"/>
      <c r="S298" s="355"/>
      <c r="T298" s="356"/>
      <c r="U298" s="355"/>
      <c r="V298" s="357"/>
      <c r="W298" s="355"/>
      <c r="X298" s="357"/>
      <c r="Y298" s="357"/>
      <c r="Z298" s="354" t="s">
        <v>2411</v>
      </c>
      <c r="AA298" s="358"/>
      <c r="AB298" s="358"/>
      <c r="AC298" s="359"/>
      <c r="AD298" s="358"/>
      <c r="AE298" s="388"/>
      <c r="AF298" s="389"/>
      <c r="AG298" s="339"/>
      <c r="AH298" s="241"/>
      <c r="AI298" s="240"/>
      <c r="AJ298" s="240"/>
      <c r="AK298" s="240"/>
      <c r="AL298" s="265"/>
      <c r="AM298" s="265"/>
      <c r="AN298" s="255"/>
      <c r="AO298" s="240"/>
      <c r="AU298" s="406" t="s">
        <v>2419</v>
      </c>
      <c r="AW298" s="301"/>
    </row>
    <row r="299" spans="1:54" s="256" customFormat="1" ht="11.4" customHeight="1">
      <c r="A299" s="240"/>
      <c r="B299" s="341"/>
      <c r="C299" s="367" t="s">
        <v>2425</v>
      </c>
      <c r="D299" s="348"/>
      <c r="E299" s="348"/>
      <c r="F299" s="348"/>
      <c r="G299" s="348"/>
      <c r="H299" s="349"/>
      <c r="I299" s="350"/>
      <c r="J299" s="348"/>
      <c r="K299" s="348"/>
      <c r="L299" s="360"/>
      <c r="M299" s="361"/>
      <c r="N299" s="368" t="s">
        <v>46</v>
      </c>
      <c r="O299" s="369"/>
      <c r="P299" s="328">
        <f t="shared" ref="P299" ca="1" si="212">IFERROR((1-P295)*P294+P295*1/(1/P294+P296/P297),P294)</f>
        <v>0.18246445497630331</v>
      </c>
      <c r="Q299" s="329"/>
      <c r="R299" s="362"/>
      <c r="S299" s="362"/>
      <c r="T299" s="363"/>
      <c r="U299" s="362"/>
      <c r="V299" s="364"/>
      <c r="W299" s="362"/>
      <c r="X299" s="364"/>
      <c r="Y299" s="364"/>
      <c r="Z299" s="330">
        <f t="shared" ref="Z299" ca="1" si="213">IF(P294&gt;0,IFERROR(SQRT(SUMPRODUCT(Z294:Z297,Z294:Z297)),""),"")</f>
        <v>1.276627784562093E-2</v>
      </c>
      <c r="AA299" s="331"/>
      <c r="AB299" s="332"/>
      <c r="AC299" s="322">
        <f t="shared" ref="AC299:AC330" ca="1" si="214">IFERROR(Z299/P299,"")</f>
        <v>6.9965834426649776E-2</v>
      </c>
      <c r="AD299" s="323"/>
      <c r="AE299" s="390">
        <f t="shared" ref="AE299:AE330" ca="1" si="215">IFERROR(AL299/AL299,"")</f>
        <v>1</v>
      </c>
      <c r="AF299" s="391"/>
      <c r="AG299" s="341"/>
      <c r="AH299" s="241"/>
      <c r="AI299" s="262"/>
      <c r="AJ299" s="262"/>
      <c r="AK299" s="262"/>
      <c r="AL299" s="263">
        <f t="shared" ref="AL299" ca="1" si="216">SUM(AL294:AL297)</f>
        <v>1.6297785003159179E-4</v>
      </c>
      <c r="AM299" s="264"/>
      <c r="AN299" s="255"/>
      <c r="AO299" s="240"/>
      <c r="AP299" s="260"/>
      <c r="AU299" s="403">
        <f t="shared" ref="AU299" ca="1" si="217">OFFSET($A$1,$BA299-1,$AY299-1)</f>
        <v>0.18246445497630331</v>
      </c>
      <c r="AV299" s="404"/>
      <c r="AW299" s="405">
        <f t="shared" ref="AW299" ca="1" si="218">OFFSET($A$1,$BB299-1,$AY299-1)</f>
        <v>1.276627784562093E-2</v>
      </c>
      <c r="AX299" s="404"/>
      <c r="AY299" s="299">
        <f t="shared" si="61"/>
        <v>42</v>
      </c>
      <c r="BA299" s="299">
        <f t="shared" ref="BA299:BB299" si="219">BA279+1</f>
        <v>86</v>
      </c>
      <c r="BB299" s="299">
        <f t="shared" si="219"/>
        <v>194</v>
      </c>
    </row>
    <row r="300" spans="1:54" s="256" customFormat="1" ht="6" customHeight="1">
      <c r="A300" s="240"/>
      <c r="B300" s="341"/>
      <c r="C300" s="377"/>
      <c r="D300" s="378"/>
      <c r="E300" s="378"/>
      <c r="F300" s="378"/>
      <c r="G300" s="378"/>
      <c r="H300" s="378"/>
      <c r="I300" s="378"/>
      <c r="J300" s="378"/>
      <c r="K300" s="378"/>
      <c r="L300" s="379"/>
      <c r="M300" s="380"/>
      <c r="N300" s="379"/>
      <c r="O300" s="380"/>
      <c r="P300" s="379"/>
      <c r="Q300" s="381"/>
      <c r="R300" s="382"/>
      <c r="S300" s="382"/>
      <c r="T300" s="383"/>
      <c r="U300" s="382"/>
      <c r="V300" s="378"/>
      <c r="W300" s="382"/>
      <c r="X300" s="378"/>
      <c r="Y300" s="378"/>
      <c r="Z300" s="382"/>
      <c r="AA300" s="378"/>
      <c r="AB300" s="378"/>
      <c r="AC300" s="382"/>
      <c r="AD300" s="378"/>
      <c r="AE300" s="382"/>
      <c r="AF300" s="384"/>
      <c r="AG300" s="339"/>
      <c r="AH300" s="241"/>
      <c r="AI300" s="240"/>
      <c r="AJ300" s="240"/>
      <c r="AK300" s="240"/>
      <c r="AL300" s="240"/>
      <c r="AM300" s="240"/>
      <c r="AN300" s="255"/>
      <c r="AO300" s="240"/>
      <c r="AP300" s="260"/>
    </row>
    <row r="301" spans="1:54" s="256" customFormat="1" ht="6" customHeight="1">
      <c r="A301" s="240"/>
      <c r="B301" s="341"/>
      <c r="C301" s="400"/>
      <c r="D301" s="400"/>
      <c r="E301" s="400"/>
      <c r="F301" s="400"/>
      <c r="G301" s="400"/>
      <c r="H301" s="400"/>
      <c r="I301" s="400"/>
      <c r="J301" s="400"/>
      <c r="K301" s="400"/>
      <c r="L301" s="401"/>
      <c r="M301" s="400"/>
      <c r="N301" s="401"/>
      <c r="O301" s="400"/>
      <c r="P301" s="401"/>
      <c r="Q301" s="402"/>
      <c r="R301" s="401"/>
      <c r="S301" s="401"/>
      <c r="T301" s="402"/>
      <c r="U301" s="401"/>
      <c r="V301" s="400"/>
      <c r="W301" s="401"/>
      <c r="X301" s="400"/>
      <c r="Y301" s="400"/>
      <c r="Z301" s="401"/>
      <c r="AA301" s="400"/>
      <c r="AB301" s="400"/>
      <c r="AC301" s="401"/>
      <c r="AD301" s="400"/>
      <c r="AE301" s="401"/>
      <c r="AF301" s="402"/>
      <c r="AG301" s="339"/>
      <c r="AH301" s="241"/>
      <c r="AI301" s="240"/>
      <c r="AJ301" s="240"/>
      <c r="AK301" s="240"/>
      <c r="AL301" s="240"/>
      <c r="AM301" s="240"/>
      <c r="AN301" s="255"/>
      <c r="AO301" s="240"/>
      <c r="AP301" s="260"/>
    </row>
    <row r="302" spans="1:54" s="256" customFormat="1" ht="11.4" customHeight="1">
      <c r="A302" s="240"/>
      <c r="B302" s="341"/>
      <c r="C302" s="394" t="str">
        <f t="shared" ref="C302" ca="1" si="220">OFFSET($A$1,$AZ303-1,$AY303-1)</f>
        <v>C.A.008</v>
      </c>
      <c r="D302" s="365"/>
      <c r="E302" s="365"/>
      <c r="F302" s="365"/>
      <c r="G302" s="365"/>
      <c r="H302" s="365"/>
      <c r="I302" s="365"/>
      <c r="J302" s="365"/>
      <c r="K302" s="366"/>
      <c r="L302" s="395" t="str">
        <f t="shared" ref="L302" ca="1" si="221">OFFSET($A$1,$BA303-1,$AY303-1)</f>
        <v>Building from 1960, insulation upgrade: d = 30 cm | f = 0.50 | Lambda = 0.035 | data from ex-post-elevation</v>
      </c>
      <c r="M302" s="396"/>
      <c r="N302" s="396"/>
      <c r="O302" s="396"/>
      <c r="P302" s="396"/>
      <c r="Q302" s="396"/>
      <c r="R302" s="397"/>
      <c r="S302" s="397"/>
      <c r="T302" s="398"/>
      <c r="U302" s="396"/>
      <c r="V302" s="396"/>
      <c r="W302" s="396"/>
      <c r="X302" s="396"/>
      <c r="Y302" s="396"/>
      <c r="Z302" s="396"/>
      <c r="AA302" s="396"/>
      <c r="AB302" s="396"/>
      <c r="AC302" s="396"/>
      <c r="AD302" s="396"/>
      <c r="AE302" s="396"/>
      <c r="AF302" s="399"/>
      <c r="AG302" s="339"/>
      <c r="AH302" s="241"/>
      <c r="AI302" s="240"/>
      <c r="AJ302" s="240"/>
      <c r="AK302" s="240"/>
      <c r="AL302" s="240"/>
      <c r="AM302" s="240"/>
      <c r="AN302" s="255"/>
      <c r="AO302" s="240"/>
      <c r="AP302" s="260"/>
    </row>
    <row r="303" spans="1:54" s="256" customFormat="1" ht="11.4" customHeight="1">
      <c r="A303" s="240"/>
      <c r="B303" s="341"/>
      <c r="C303" s="333"/>
      <c r="D303" s="334"/>
      <c r="E303" s="334"/>
      <c r="F303" s="334"/>
      <c r="G303" s="334"/>
      <c r="H303" s="334"/>
      <c r="I303" s="334"/>
      <c r="J303" s="334"/>
      <c r="K303" s="335"/>
      <c r="L303" s="343"/>
      <c r="M303" s="348"/>
      <c r="N303" s="343"/>
      <c r="O303" s="348"/>
      <c r="P303" s="343"/>
      <c r="Q303" s="348"/>
      <c r="R303" s="343"/>
      <c r="S303" s="343"/>
      <c r="T303" s="351"/>
      <c r="U303" s="343"/>
      <c r="V303" s="348"/>
      <c r="W303" s="343"/>
      <c r="X303" s="348"/>
      <c r="Y303" s="348"/>
      <c r="Z303" s="343"/>
      <c r="AA303" s="348"/>
      <c r="AB303" s="352" t="s">
        <v>46</v>
      </c>
      <c r="AC303" s="343"/>
      <c r="AD303" s="353"/>
      <c r="AE303" s="343"/>
      <c r="AF303" s="344"/>
      <c r="AG303" s="339"/>
      <c r="AH303" s="241"/>
      <c r="AI303" s="240"/>
      <c r="AJ303" s="240"/>
      <c r="AK303" s="240"/>
      <c r="AL303" s="240"/>
      <c r="AM303" s="240"/>
      <c r="AN303" s="255"/>
      <c r="AO303" s="240"/>
      <c r="AP303" s="260"/>
      <c r="AY303" s="299">
        <f t="shared" ref="AY303" si="222">AY293</f>
        <v>42</v>
      </c>
      <c r="AZ303" s="300">
        <f t="shared" ref="AZ303:BA303" si="223">AZ293+1</f>
        <v>15</v>
      </c>
      <c r="BA303" s="300">
        <f t="shared" si="223"/>
        <v>27</v>
      </c>
    </row>
    <row r="304" spans="1:54" s="256" customFormat="1" ht="11.4" customHeight="1">
      <c r="A304" s="240"/>
      <c r="B304" s="341"/>
      <c r="C304" s="346"/>
      <c r="D304" s="348" t="s">
        <v>2414</v>
      </c>
      <c r="E304" s="348"/>
      <c r="F304" s="348"/>
      <c r="G304" s="348"/>
      <c r="H304" s="348"/>
      <c r="I304" s="348"/>
      <c r="J304" s="348"/>
      <c r="K304" s="348"/>
      <c r="L304" s="302" t="s">
        <v>2420</v>
      </c>
      <c r="M304" s="261"/>
      <c r="N304" s="368" t="s">
        <v>46</v>
      </c>
      <c r="O304" s="369"/>
      <c r="P304" s="309">
        <f t="shared" ref="P304" ca="1" si="224">OFFSET($A$1,$AZ304-1,$AY304-1)</f>
        <v>1.1000000000000001</v>
      </c>
      <c r="Q304" s="310"/>
      <c r="R304" s="311" t="str">
        <f t="shared" ref="R304" ca="1" si="225">OFFSET($A$1,$BA304-1,$AY304-1)</f>
        <v>D</v>
      </c>
      <c r="S304" s="312">
        <f t="shared" ref="S304" ca="1" si="226">OFFSET($A$1,$BB304-1,$AY304-1)</f>
        <v>0.33</v>
      </c>
      <c r="T304" s="313"/>
      <c r="U304" s="314">
        <f t="shared" ref="U304:U350" ca="1" si="227">IFERROR(S304/P304,0)</f>
        <v>0.3</v>
      </c>
      <c r="V304" s="315"/>
      <c r="W304" s="316">
        <f t="shared" ref="W304" ca="1" si="228">IF(P304&gt;0,IFERROR((1+P305*(1/(1+P306/P307*P304)^2-1)),1),"")</f>
        <v>0.50459748545693373</v>
      </c>
      <c r="X304" s="317"/>
      <c r="Y304" s="318"/>
      <c r="Z304" s="319">
        <f t="shared" ref="Z304:Z350" ca="1" si="229">IFERROR(ABS(W304*S304),"")</f>
        <v>0.16651717020078813</v>
      </c>
      <c r="AA304" s="320"/>
      <c r="AB304" s="321"/>
      <c r="AC304" s="322">
        <f t="shared" ref="AC304" ca="1" si="230">IFERROR(Z304/P309,"")</f>
        <v>0.27626712328767117</v>
      </c>
      <c r="AD304" s="323"/>
      <c r="AE304" s="385">
        <f t="shared" ref="AE304" ca="1" si="231">IFERROR(AL304/AL309,"")</f>
        <v>0.41168691975782223</v>
      </c>
      <c r="AF304" s="386"/>
      <c r="AG304" s="339"/>
      <c r="AH304" s="241"/>
      <c r="AI304" s="262"/>
      <c r="AJ304" s="262"/>
      <c r="AK304" s="262"/>
      <c r="AL304" s="263">
        <f t="shared" ref="AL304:AL350" ca="1" si="232">IFERROR(Z304^2,0)</f>
        <v>2.7727967971678241E-2</v>
      </c>
      <c r="AM304" s="264"/>
      <c r="AN304" s="255"/>
      <c r="AO304" s="240"/>
      <c r="AP304" s="262"/>
      <c r="AY304" s="299">
        <f t="shared" ref="AY304:AY350" si="233">AY303</f>
        <v>42</v>
      </c>
      <c r="AZ304" s="299">
        <f t="shared" ref="AZ304:BB304" si="234">AZ294+1</f>
        <v>39</v>
      </c>
      <c r="BA304" s="299">
        <f t="shared" si="234"/>
        <v>99</v>
      </c>
      <c r="BB304" s="299">
        <f t="shared" si="234"/>
        <v>147</v>
      </c>
    </row>
    <row r="305" spans="1:54" s="256" customFormat="1" ht="11.4" customHeight="1">
      <c r="A305" s="240"/>
      <c r="B305" s="341"/>
      <c r="C305" s="346"/>
      <c r="D305" s="348" t="s">
        <v>2415</v>
      </c>
      <c r="E305" s="348"/>
      <c r="F305" s="348"/>
      <c r="G305" s="348"/>
      <c r="H305" s="348"/>
      <c r="I305" s="348"/>
      <c r="J305" s="348"/>
      <c r="K305" s="348"/>
      <c r="L305" s="302" t="s">
        <v>2421</v>
      </c>
      <c r="M305" s="261"/>
      <c r="N305" s="368" t="s">
        <v>1266</v>
      </c>
      <c r="O305" s="369"/>
      <c r="P305" s="309">
        <f t="shared" ca="1" si="43"/>
        <v>0.5</v>
      </c>
      <c r="Q305" s="310"/>
      <c r="R305" s="311" t="str">
        <f t="shared" ca="1" si="44"/>
        <v>C</v>
      </c>
      <c r="S305" s="312">
        <f t="shared" ca="1" si="45"/>
        <v>0.2</v>
      </c>
      <c r="T305" s="313"/>
      <c r="U305" s="314">
        <f t="shared" ca="1" si="227"/>
        <v>0.4</v>
      </c>
      <c r="V305" s="315"/>
      <c r="W305" s="316">
        <f t="shared" ref="W305" ca="1" si="235">IFERROR((-P304+1/(1/P304+P306/P307)),"")</f>
        <v>-0.9945205479452055</v>
      </c>
      <c r="X305" s="317"/>
      <c r="Y305" s="318"/>
      <c r="Z305" s="319">
        <f t="shared" ca="1" si="229"/>
        <v>0.19890410958904112</v>
      </c>
      <c r="AA305" s="320"/>
      <c r="AB305" s="321"/>
      <c r="AC305" s="322">
        <f t="shared" ref="AC305" ca="1" si="236">IFERROR(Z305/P309,"")</f>
        <v>0.33</v>
      </c>
      <c r="AD305" s="323"/>
      <c r="AE305" s="385">
        <f t="shared" ref="AE305" ca="1" si="237">IFERROR(AL305/AL309,"")</f>
        <v>0.58740351019959802</v>
      </c>
      <c r="AF305" s="386"/>
      <c r="AG305" s="339"/>
      <c r="AH305" s="241"/>
      <c r="AI305" s="262"/>
      <c r="AJ305" s="262"/>
      <c r="AK305" s="262"/>
      <c r="AL305" s="263">
        <f t="shared" ca="1" si="232"/>
        <v>3.956284481140928E-2</v>
      </c>
      <c r="AM305" s="264"/>
      <c r="AN305" s="255"/>
      <c r="AO305" s="240"/>
      <c r="AP305" s="262"/>
      <c r="AY305" s="299">
        <f t="shared" si="233"/>
        <v>42</v>
      </c>
      <c r="AZ305" s="299">
        <f t="shared" ref="AZ305:BB305" si="238">AZ295+1</f>
        <v>51</v>
      </c>
      <c r="BA305" s="299">
        <f t="shared" si="238"/>
        <v>111</v>
      </c>
      <c r="BB305" s="299">
        <f t="shared" si="238"/>
        <v>159</v>
      </c>
    </row>
    <row r="306" spans="1:54" s="256" customFormat="1" ht="11.4" customHeight="1">
      <c r="A306" s="240"/>
      <c r="B306" s="341"/>
      <c r="C306" s="346"/>
      <c r="D306" s="348" t="s">
        <v>175</v>
      </c>
      <c r="E306" s="348"/>
      <c r="F306" s="348"/>
      <c r="G306" s="348"/>
      <c r="H306" s="348"/>
      <c r="I306" s="348"/>
      <c r="J306" s="348"/>
      <c r="K306" s="348"/>
      <c r="L306" s="302" t="s">
        <v>2422</v>
      </c>
      <c r="M306" s="261"/>
      <c r="N306" s="368" t="s">
        <v>2416</v>
      </c>
      <c r="O306" s="369"/>
      <c r="P306" s="309">
        <f t="shared" ca="1" si="43"/>
        <v>0.3</v>
      </c>
      <c r="Q306" s="324"/>
      <c r="R306" s="311" t="str">
        <f t="shared" ca="1" si="44"/>
        <v>C</v>
      </c>
      <c r="S306" s="312">
        <f t="shared" ca="1" si="45"/>
        <v>0.02</v>
      </c>
      <c r="T306" s="313"/>
      <c r="U306" s="314">
        <f t="shared" ca="1" si="227"/>
        <v>6.6666666666666666E-2</v>
      </c>
      <c r="V306" s="315"/>
      <c r="W306" s="316">
        <f t="shared" ref="W306" ca="1" si="239">IFERROR(-P305*P307/(P307/P304+P306)^2,"")</f>
        <v>-0.15894164008256711</v>
      </c>
      <c r="X306" s="317"/>
      <c r="Y306" s="318"/>
      <c r="Z306" s="319">
        <f t="shared" ca="1" si="229"/>
        <v>3.1788328016513425E-3</v>
      </c>
      <c r="AA306" s="320"/>
      <c r="AB306" s="321"/>
      <c r="AC306" s="322">
        <f t="shared" ref="AC306" ca="1" si="240">IFERROR(Z306/P309,"")</f>
        <v>5.2739726027397262E-3</v>
      </c>
      <c r="AD306" s="323"/>
      <c r="AE306" s="385">
        <f t="shared" ref="AE306" ca="1" si="241">IFERROR(AL306/AL309,"")</f>
        <v>1.5003217197191628E-4</v>
      </c>
      <c r="AF306" s="387"/>
      <c r="AG306" s="339"/>
      <c r="AH306" s="241"/>
      <c r="AI306" s="262"/>
      <c r="AJ306" s="262"/>
      <c r="AK306" s="262"/>
      <c r="AL306" s="263">
        <f t="shared" ca="1" si="232"/>
        <v>1.0104977980854523E-5</v>
      </c>
      <c r="AM306" s="264"/>
      <c r="AN306" s="255"/>
      <c r="AO306" s="240"/>
      <c r="AP306" s="262"/>
      <c r="AY306" s="299">
        <f t="shared" si="61"/>
        <v>42</v>
      </c>
      <c r="AZ306" s="299">
        <f t="shared" ref="AZ306:BB306" si="242">AZ296+1</f>
        <v>63</v>
      </c>
      <c r="BA306" s="299">
        <f t="shared" si="242"/>
        <v>123</v>
      </c>
      <c r="BB306" s="299">
        <f t="shared" si="242"/>
        <v>171</v>
      </c>
    </row>
    <row r="307" spans="1:54" s="256" customFormat="1" ht="11.4" customHeight="1">
      <c r="A307" s="240"/>
      <c r="B307" s="341"/>
      <c r="C307" s="346"/>
      <c r="D307" s="348" t="s">
        <v>2417</v>
      </c>
      <c r="E307" s="348"/>
      <c r="F307" s="348"/>
      <c r="G307" s="348"/>
      <c r="H307" s="348"/>
      <c r="I307" s="348"/>
      <c r="J307" s="348"/>
      <c r="K307" s="348"/>
      <c r="L307" s="302" t="s">
        <v>2423</v>
      </c>
      <c r="M307" s="261"/>
      <c r="N307" s="368" t="s">
        <v>45</v>
      </c>
      <c r="O307" s="369"/>
      <c r="P307" s="325">
        <f t="shared" ca="1" si="43"/>
        <v>3.5000000000000003E-2</v>
      </c>
      <c r="Q307" s="324"/>
      <c r="R307" s="311" t="str">
        <f t="shared" ca="1" si="44"/>
        <v>C</v>
      </c>
      <c r="S307" s="326">
        <f t="shared" ca="1" si="45"/>
        <v>5.2500000000000003E-3</v>
      </c>
      <c r="T307" s="327"/>
      <c r="U307" s="314">
        <f t="shared" ca="1" si="227"/>
        <v>0.15</v>
      </c>
      <c r="V307" s="315"/>
      <c r="W307" s="316">
        <f t="shared" ref="W307" ca="1" si="243">IFERROR(P305*P306/(P307/P304+P306)^2,"")</f>
        <v>1.3623569149934323</v>
      </c>
      <c r="X307" s="317"/>
      <c r="Y307" s="318"/>
      <c r="Z307" s="319">
        <f t="shared" ca="1" si="229"/>
        <v>7.1523738037155195E-3</v>
      </c>
      <c r="AA307" s="320"/>
      <c r="AB307" s="321"/>
      <c r="AC307" s="322">
        <f t="shared" ref="AC307" ca="1" si="244">IFERROR(Z307/P309,"")</f>
        <v>1.1866438356164383E-2</v>
      </c>
      <c r="AD307" s="323"/>
      <c r="AE307" s="385">
        <f t="shared" ref="AE307" ca="1" si="245">IFERROR(AL307/AL309,"")</f>
        <v>7.5953787060782597E-4</v>
      </c>
      <c r="AF307" s="387"/>
      <c r="AG307" s="339"/>
      <c r="AH307" s="241"/>
      <c r="AI307" s="262"/>
      <c r="AJ307" s="262"/>
      <c r="AK307" s="262"/>
      <c r="AL307" s="263">
        <f t="shared" ca="1" si="232"/>
        <v>5.1156451028076008E-5</v>
      </c>
      <c r="AM307" s="264"/>
      <c r="AN307" s="255"/>
      <c r="AO307" s="240"/>
      <c r="AP307" s="262"/>
      <c r="AY307" s="299">
        <f t="shared" si="61"/>
        <v>42</v>
      </c>
      <c r="AZ307" s="299">
        <f t="shared" ref="AZ307:BB307" si="246">AZ297+1</f>
        <v>75</v>
      </c>
      <c r="BA307" s="299">
        <f t="shared" si="246"/>
        <v>135</v>
      </c>
      <c r="BB307" s="299">
        <f t="shared" si="246"/>
        <v>183</v>
      </c>
    </row>
    <row r="308" spans="1:54" s="256" customFormat="1" ht="11.4" customHeight="1">
      <c r="A308" s="240"/>
      <c r="B308" s="341"/>
      <c r="C308" s="347"/>
      <c r="D308" s="348"/>
      <c r="E308" s="370" t="s">
        <v>2424</v>
      </c>
      <c r="F308" s="371"/>
      <c r="G308" s="371"/>
      <c r="H308" s="349"/>
      <c r="I308" s="372"/>
      <c r="J308" s="371"/>
      <c r="K308" s="371"/>
      <c r="L308" s="373"/>
      <c r="M308" s="374"/>
      <c r="N308" s="375" t="s">
        <v>46</v>
      </c>
      <c r="O308" s="376"/>
      <c r="P308" s="392">
        <f t="shared" ref="P308" ca="1" si="247">IFERROR(1/(1/P304+P306/P307),"")</f>
        <v>0.10547945205479453</v>
      </c>
      <c r="Q308" s="393"/>
      <c r="R308" s="355"/>
      <c r="S308" s="355"/>
      <c r="T308" s="356"/>
      <c r="U308" s="355"/>
      <c r="V308" s="357"/>
      <c r="W308" s="355"/>
      <c r="X308" s="357"/>
      <c r="Y308" s="357"/>
      <c r="Z308" s="354" t="s">
        <v>2411</v>
      </c>
      <c r="AA308" s="358"/>
      <c r="AB308" s="358"/>
      <c r="AC308" s="359"/>
      <c r="AD308" s="358"/>
      <c r="AE308" s="388"/>
      <c r="AF308" s="389"/>
      <c r="AG308" s="339"/>
      <c r="AH308" s="241"/>
      <c r="AI308" s="240"/>
      <c r="AJ308" s="240"/>
      <c r="AK308" s="240"/>
      <c r="AL308" s="265"/>
      <c r="AM308" s="265"/>
      <c r="AN308" s="255"/>
      <c r="AO308" s="240"/>
      <c r="AU308" s="406" t="s">
        <v>2419</v>
      </c>
      <c r="AW308" s="301"/>
    </row>
    <row r="309" spans="1:54" s="256" customFormat="1" ht="11.4" customHeight="1">
      <c r="A309" s="240"/>
      <c r="B309" s="341"/>
      <c r="C309" s="367" t="s">
        <v>2425</v>
      </c>
      <c r="D309" s="348"/>
      <c r="E309" s="348"/>
      <c r="F309" s="348"/>
      <c r="G309" s="348"/>
      <c r="H309" s="349"/>
      <c r="I309" s="350"/>
      <c r="J309" s="348"/>
      <c r="K309" s="348"/>
      <c r="L309" s="360"/>
      <c r="M309" s="361"/>
      <c r="N309" s="368" t="s">
        <v>46</v>
      </c>
      <c r="O309" s="369"/>
      <c r="P309" s="328">
        <f t="shared" ref="P309" ca="1" si="248">IFERROR((1-P305)*P304+P305*1/(1/P304+P306/P307),P304)</f>
        <v>0.60273972602739734</v>
      </c>
      <c r="Q309" s="329"/>
      <c r="R309" s="362"/>
      <c r="S309" s="362"/>
      <c r="T309" s="363"/>
      <c r="U309" s="362"/>
      <c r="V309" s="364"/>
      <c r="W309" s="362"/>
      <c r="X309" s="364"/>
      <c r="Y309" s="364"/>
      <c r="Z309" s="330">
        <f t="shared" ref="Z309" ca="1" si="249">IF(P304&gt;0,IFERROR(SQRT(SUMPRODUCT(Z304:Z307,Z304:Z307)),""),"")</f>
        <v>0.25952278168225706</v>
      </c>
      <c r="AA309" s="331"/>
      <c r="AB309" s="332"/>
      <c r="AC309" s="322">
        <f t="shared" ref="AC309:AC350" ca="1" si="250">IFERROR(Z309/P309,"")</f>
        <v>0.43057188779101735</v>
      </c>
      <c r="AD309" s="323"/>
      <c r="AE309" s="390">
        <f t="shared" ref="AE309:AE350" ca="1" si="251">IFERROR(AL309/AL309,"")</f>
        <v>1</v>
      </c>
      <c r="AF309" s="391"/>
      <c r="AG309" s="341"/>
      <c r="AH309" s="241"/>
      <c r="AI309" s="262"/>
      <c r="AJ309" s="262"/>
      <c r="AK309" s="262"/>
      <c r="AL309" s="263">
        <f t="shared" ref="AL309" ca="1" si="252">SUM(AL304:AL307)</f>
        <v>6.7352074212096449E-2</v>
      </c>
      <c r="AM309" s="264"/>
      <c r="AN309" s="255"/>
      <c r="AO309" s="240"/>
      <c r="AP309" s="260"/>
      <c r="AU309" s="403">
        <f t="shared" ref="AU309" ca="1" si="253">OFFSET($A$1,$BA309-1,$AY309-1)</f>
        <v>0.60273972602739734</v>
      </c>
      <c r="AV309" s="404"/>
      <c r="AW309" s="405">
        <f t="shared" ref="AW309" ca="1" si="254">OFFSET($A$1,$BB309-1,$AY309-1)</f>
        <v>0.25952278168225701</v>
      </c>
      <c r="AX309" s="404"/>
      <c r="AY309" s="299">
        <f t="shared" si="61"/>
        <v>42</v>
      </c>
      <c r="BA309" s="299">
        <f t="shared" ref="BA309:BB309" si="255">BA299+1</f>
        <v>87</v>
      </c>
      <c r="BB309" s="299">
        <f t="shared" si="255"/>
        <v>195</v>
      </c>
    </row>
    <row r="310" spans="1:54" s="256" customFormat="1" ht="6" customHeight="1">
      <c r="A310" s="240"/>
      <c r="B310" s="341"/>
      <c r="C310" s="377"/>
      <c r="D310" s="378"/>
      <c r="E310" s="378"/>
      <c r="F310" s="378"/>
      <c r="G310" s="378"/>
      <c r="H310" s="378"/>
      <c r="I310" s="378"/>
      <c r="J310" s="378"/>
      <c r="K310" s="378"/>
      <c r="L310" s="379"/>
      <c r="M310" s="380"/>
      <c r="N310" s="379"/>
      <c r="O310" s="380"/>
      <c r="P310" s="379"/>
      <c r="Q310" s="381"/>
      <c r="R310" s="382"/>
      <c r="S310" s="382"/>
      <c r="T310" s="383"/>
      <c r="U310" s="382"/>
      <c r="V310" s="378"/>
      <c r="W310" s="382"/>
      <c r="X310" s="378"/>
      <c r="Y310" s="378"/>
      <c r="Z310" s="382"/>
      <c r="AA310" s="378"/>
      <c r="AB310" s="378"/>
      <c r="AC310" s="382"/>
      <c r="AD310" s="378"/>
      <c r="AE310" s="382"/>
      <c r="AF310" s="384"/>
      <c r="AG310" s="339"/>
      <c r="AH310" s="241"/>
      <c r="AI310" s="240"/>
      <c r="AJ310" s="240"/>
      <c r="AK310" s="240"/>
      <c r="AL310" s="240"/>
      <c r="AM310" s="240"/>
      <c r="AN310" s="255"/>
      <c r="AO310" s="240"/>
      <c r="AP310" s="260"/>
    </row>
    <row r="311" spans="1:54" s="256" customFormat="1" ht="6" customHeight="1">
      <c r="A311" s="240"/>
      <c r="B311" s="341"/>
      <c r="C311" s="400"/>
      <c r="D311" s="400"/>
      <c r="E311" s="400"/>
      <c r="F311" s="400"/>
      <c r="G311" s="400"/>
      <c r="H311" s="400"/>
      <c r="I311" s="400"/>
      <c r="J311" s="400"/>
      <c r="K311" s="400"/>
      <c r="L311" s="401"/>
      <c r="M311" s="400"/>
      <c r="N311" s="401"/>
      <c r="O311" s="400"/>
      <c r="P311" s="401"/>
      <c r="Q311" s="402"/>
      <c r="R311" s="401"/>
      <c r="S311" s="401"/>
      <c r="T311" s="402"/>
      <c r="U311" s="401"/>
      <c r="V311" s="400"/>
      <c r="W311" s="401"/>
      <c r="X311" s="400"/>
      <c r="Y311" s="400"/>
      <c r="Z311" s="401"/>
      <c r="AA311" s="400"/>
      <c r="AB311" s="400"/>
      <c r="AC311" s="401"/>
      <c r="AD311" s="400"/>
      <c r="AE311" s="401"/>
      <c r="AF311" s="402"/>
      <c r="AG311" s="339"/>
      <c r="AH311" s="241"/>
      <c r="AI311" s="240"/>
      <c r="AJ311" s="240"/>
      <c r="AK311" s="240"/>
      <c r="AL311" s="240"/>
      <c r="AM311" s="240"/>
      <c r="AN311" s="255"/>
      <c r="AO311" s="240"/>
      <c r="AP311" s="260"/>
    </row>
    <row r="312" spans="1:54" s="256" customFormat="1" ht="11.4" customHeight="1">
      <c r="A312" s="240"/>
      <c r="B312" s="341"/>
      <c r="C312" s="394" t="str">
        <f t="shared" ref="C312" ca="1" si="256">OFFSET($A$1,$AZ313-1,$AY313-1)</f>
        <v>C.A.009</v>
      </c>
      <c r="D312" s="365"/>
      <c r="E312" s="365"/>
      <c r="F312" s="365"/>
      <c r="G312" s="365"/>
      <c r="H312" s="365"/>
      <c r="I312" s="365"/>
      <c r="J312" s="365"/>
      <c r="K312" s="366"/>
      <c r="L312" s="395" t="str">
        <f t="shared" ref="L312" ca="1" si="257">OFFSET($A$1,$BA313-1,$AY313-1)</f>
        <v>Building from 1960, insulation upgrade: d = 30 cm | f = 1.00 | Lambda = 0.035 | data from ex-post-elevation</v>
      </c>
      <c r="M312" s="396"/>
      <c r="N312" s="396"/>
      <c r="O312" s="396"/>
      <c r="P312" s="396"/>
      <c r="Q312" s="396"/>
      <c r="R312" s="397"/>
      <c r="S312" s="397"/>
      <c r="T312" s="398"/>
      <c r="U312" s="396"/>
      <c r="V312" s="396"/>
      <c r="W312" s="396"/>
      <c r="X312" s="396"/>
      <c r="Y312" s="396"/>
      <c r="Z312" s="396"/>
      <c r="AA312" s="396"/>
      <c r="AB312" s="396"/>
      <c r="AC312" s="396"/>
      <c r="AD312" s="396"/>
      <c r="AE312" s="396"/>
      <c r="AF312" s="399"/>
      <c r="AG312" s="339"/>
      <c r="AH312" s="241"/>
      <c r="AI312" s="240"/>
      <c r="AJ312" s="240"/>
      <c r="AK312" s="240"/>
      <c r="AL312" s="240"/>
      <c r="AM312" s="240"/>
      <c r="AN312" s="255"/>
      <c r="AO312" s="240"/>
      <c r="AP312" s="260"/>
    </row>
    <row r="313" spans="1:54" s="256" customFormat="1" ht="11.4" customHeight="1">
      <c r="A313" s="240"/>
      <c r="B313" s="341"/>
      <c r="C313" s="333"/>
      <c r="D313" s="334"/>
      <c r="E313" s="334"/>
      <c r="F313" s="334"/>
      <c r="G313" s="334"/>
      <c r="H313" s="334"/>
      <c r="I313" s="334"/>
      <c r="J313" s="334"/>
      <c r="K313" s="335"/>
      <c r="L313" s="343"/>
      <c r="M313" s="348"/>
      <c r="N313" s="343"/>
      <c r="O313" s="348"/>
      <c r="P313" s="343"/>
      <c r="Q313" s="348"/>
      <c r="R313" s="343"/>
      <c r="S313" s="343"/>
      <c r="T313" s="351"/>
      <c r="U313" s="343"/>
      <c r="V313" s="348"/>
      <c r="W313" s="343"/>
      <c r="X313" s="348"/>
      <c r="Y313" s="348"/>
      <c r="Z313" s="343"/>
      <c r="AA313" s="348"/>
      <c r="AB313" s="352" t="s">
        <v>46</v>
      </c>
      <c r="AC313" s="343"/>
      <c r="AD313" s="353"/>
      <c r="AE313" s="343"/>
      <c r="AF313" s="344"/>
      <c r="AG313" s="339"/>
      <c r="AH313" s="241"/>
      <c r="AI313" s="240"/>
      <c r="AJ313" s="240"/>
      <c r="AK313" s="240"/>
      <c r="AL313" s="240"/>
      <c r="AM313" s="240"/>
      <c r="AN313" s="255"/>
      <c r="AO313" s="240"/>
      <c r="AP313" s="260"/>
      <c r="AY313" s="299">
        <f t="shared" ref="AY313" si="258">AY303</f>
        <v>42</v>
      </c>
      <c r="AZ313" s="300">
        <f t="shared" ref="AZ313:BA313" si="259">AZ303+1</f>
        <v>16</v>
      </c>
      <c r="BA313" s="300">
        <f t="shared" si="259"/>
        <v>28</v>
      </c>
    </row>
    <row r="314" spans="1:54" s="256" customFormat="1" ht="11.4" customHeight="1">
      <c r="A314" s="240"/>
      <c r="B314" s="341"/>
      <c r="C314" s="346"/>
      <c r="D314" s="348" t="s">
        <v>2414</v>
      </c>
      <c r="E314" s="348"/>
      <c r="F314" s="348"/>
      <c r="G314" s="348"/>
      <c r="H314" s="348"/>
      <c r="I314" s="348"/>
      <c r="J314" s="348"/>
      <c r="K314" s="348"/>
      <c r="L314" s="302" t="s">
        <v>2420</v>
      </c>
      <c r="M314" s="261"/>
      <c r="N314" s="368" t="s">
        <v>46</v>
      </c>
      <c r="O314" s="369"/>
      <c r="P314" s="309">
        <f t="shared" ref="P314" ca="1" si="260">OFFSET($A$1,$AZ314-1,$AY314-1)</f>
        <v>1.1000000000000001</v>
      </c>
      <c r="Q314" s="310"/>
      <c r="R314" s="311" t="str">
        <f t="shared" ref="R314" ca="1" si="261">OFFSET($A$1,$BA314-1,$AY314-1)</f>
        <v>D</v>
      </c>
      <c r="S314" s="312">
        <f t="shared" ref="S314" ca="1" si="262">OFFSET($A$1,$BB314-1,$AY314-1)</f>
        <v>0.33</v>
      </c>
      <c r="T314" s="313"/>
      <c r="U314" s="314">
        <f t="shared" ref="U314:U350" ca="1" si="263">IFERROR(S314/P314,0)</f>
        <v>0.3</v>
      </c>
      <c r="V314" s="315"/>
      <c r="W314" s="316">
        <f t="shared" ref="W314" ca="1" si="264">IF(P314&gt;0,IFERROR((1+P315*(1/(1+P316/P317*P314)^2-1)),1),"")</f>
        <v>9.1949709138675617E-3</v>
      </c>
      <c r="X314" s="317"/>
      <c r="Y314" s="318"/>
      <c r="Z314" s="319">
        <f t="shared" ref="Z314:Z350" ca="1" si="265">IFERROR(ABS(W314*S314),"")</f>
        <v>3.0343404015762956E-3</v>
      </c>
      <c r="AA314" s="320"/>
      <c r="AB314" s="321"/>
      <c r="AC314" s="322">
        <f t="shared" ref="AC314" ca="1" si="266">IFERROR(Z314/P319,"")</f>
        <v>2.8767123287671371E-2</v>
      </c>
      <c r="AD314" s="323"/>
      <c r="AE314" s="385">
        <f t="shared" ref="AE314" ca="1" si="267">IFERROR(AL314/AL319,"")</f>
        <v>3.621284283133553E-2</v>
      </c>
      <c r="AF314" s="386"/>
      <c r="AG314" s="339"/>
      <c r="AH314" s="241"/>
      <c r="AI314" s="262"/>
      <c r="AJ314" s="262"/>
      <c r="AK314" s="262"/>
      <c r="AL314" s="263">
        <f t="shared" ref="AL314:AL350" ca="1" si="268">IFERROR(Z314^2,0)</f>
        <v>9.2072216726381957E-6</v>
      </c>
      <c r="AM314" s="264"/>
      <c r="AN314" s="255"/>
      <c r="AO314" s="240"/>
      <c r="AP314" s="262"/>
      <c r="AY314" s="299">
        <f t="shared" ref="AY314:AY350" si="269">AY313</f>
        <v>42</v>
      </c>
      <c r="AZ314" s="299">
        <f t="shared" ref="AZ314:BB314" si="270">AZ304+1</f>
        <v>40</v>
      </c>
      <c r="BA314" s="299">
        <f t="shared" si="270"/>
        <v>100</v>
      </c>
      <c r="BB314" s="299">
        <f t="shared" si="270"/>
        <v>148</v>
      </c>
    </row>
    <row r="315" spans="1:54" s="256" customFormat="1" ht="11.4" customHeight="1">
      <c r="A315" s="240"/>
      <c r="B315" s="341"/>
      <c r="C315" s="346"/>
      <c r="D315" s="348" t="s">
        <v>2415</v>
      </c>
      <c r="E315" s="348"/>
      <c r="F315" s="348"/>
      <c r="G315" s="348"/>
      <c r="H315" s="348"/>
      <c r="I315" s="348"/>
      <c r="J315" s="348"/>
      <c r="K315" s="348"/>
      <c r="L315" s="302" t="s">
        <v>2421</v>
      </c>
      <c r="M315" s="261"/>
      <c r="N315" s="368" t="s">
        <v>1266</v>
      </c>
      <c r="O315" s="369"/>
      <c r="P315" s="309">
        <f t="shared" ca="1" si="43"/>
        <v>1</v>
      </c>
      <c r="Q315" s="310"/>
      <c r="R315" s="311" t="str">
        <f t="shared" ca="1" si="44"/>
        <v>C</v>
      </c>
      <c r="S315" s="312">
        <f t="shared" ca="1" si="45"/>
        <v>0</v>
      </c>
      <c r="T315" s="313"/>
      <c r="U315" s="314">
        <f t="shared" ca="1" si="263"/>
        <v>0</v>
      </c>
      <c r="V315" s="315"/>
      <c r="W315" s="316">
        <f t="shared" ref="W315" ca="1" si="271">IFERROR((-P314+1/(1/P314+P316/P317)),"")</f>
        <v>-0.9945205479452055</v>
      </c>
      <c r="X315" s="317"/>
      <c r="Y315" s="318"/>
      <c r="Z315" s="319">
        <f t="shared" ca="1" si="265"/>
        <v>0</v>
      </c>
      <c r="AA315" s="320"/>
      <c r="AB315" s="321"/>
      <c r="AC315" s="322">
        <f t="shared" ref="AC315" ca="1" si="272">IFERROR(Z315/P319,"")</f>
        <v>0</v>
      </c>
      <c r="AD315" s="323"/>
      <c r="AE315" s="385">
        <f t="shared" ref="AE315" ca="1" si="273">IFERROR(AL315/AL319,"")</f>
        <v>0</v>
      </c>
      <c r="AF315" s="386"/>
      <c r="AG315" s="339"/>
      <c r="AH315" s="241"/>
      <c r="AI315" s="262"/>
      <c r="AJ315" s="262"/>
      <c r="AK315" s="262"/>
      <c r="AL315" s="263">
        <f t="shared" ca="1" si="268"/>
        <v>0</v>
      </c>
      <c r="AM315" s="264"/>
      <c r="AN315" s="255"/>
      <c r="AO315" s="240"/>
      <c r="AP315" s="262"/>
      <c r="AY315" s="299">
        <f t="shared" si="269"/>
        <v>42</v>
      </c>
      <c r="AZ315" s="299">
        <f t="shared" ref="AZ315:BB315" si="274">AZ305+1</f>
        <v>52</v>
      </c>
      <c r="BA315" s="299">
        <f t="shared" si="274"/>
        <v>112</v>
      </c>
      <c r="BB315" s="299">
        <f t="shared" si="274"/>
        <v>160</v>
      </c>
    </row>
    <row r="316" spans="1:54" s="256" customFormat="1" ht="11.4" customHeight="1">
      <c r="A316" s="240"/>
      <c r="B316" s="341"/>
      <c r="C316" s="346"/>
      <c r="D316" s="348" t="s">
        <v>175</v>
      </c>
      <c r="E316" s="348"/>
      <c r="F316" s="348"/>
      <c r="G316" s="348"/>
      <c r="H316" s="348"/>
      <c r="I316" s="348"/>
      <c r="J316" s="348"/>
      <c r="K316" s="348"/>
      <c r="L316" s="302" t="s">
        <v>2422</v>
      </c>
      <c r="M316" s="261"/>
      <c r="N316" s="368" t="s">
        <v>2416</v>
      </c>
      <c r="O316" s="369"/>
      <c r="P316" s="309">
        <f t="shared" ca="1" si="43"/>
        <v>0.3</v>
      </c>
      <c r="Q316" s="324"/>
      <c r="R316" s="311" t="str">
        <f t="shared" ca="1" si="44"/>
        <v>C</v>
      </c>
      <c r="S316" s="312">
        <f t="shared" ca="1" si="45"/>
        <v>0.02</v>
      </c>
      <c r="T316" s="313"/>
      <c r="U316" s="314">
        <f t="shared" ca="1" si="263"/>
        <v>6.6666666666666666E-2</v>
      </c>
      <c r="V316" s="315"/>
      <c r="W316" s="316">
        <f t="shared" ref="W316" ca="1" si="275">IFERROR(-P315*P317/(P317/P314+P316)^2,"")</f>
        <v>-0.31788328016513423</v>
      </c>
      <c r="X316" s="317"/>
      <c r="Y316" s="318"/>
      <c r="Z316" s="319">
        <f t="shared" ca="1" si="265"/>
        <v>6.3576656033026849E-3</v>
      </c>
      <c r="AA316" s="320"/>
      <c r="AB316" s="321"/>
      <c r="AC316" s="322">
        <f t="shared" ref="AC316" ca="1" si="276">IFERROR(Z316/P319,"")</f>
        <v>6.0273972602739735E-2</v>
      </c>
      <c r="AD316" s="323"/>
      <c r="AE316" s="385">
        <f t="shared" ref="AE316" ca="1" si="277">IFERROR(AL316/AL319,"")</f>
        <v>0.15897520118246014</v>
      </c>
      <c r="AF316" s="387"/>
      <c r="AG316" s="339"/>
      <c r="AH316" s="241"/>
      <c r="AI316" s="262"/>
      <c r="AJ316" s="262"/>
      <c r="AK316" s="262"/>
      <c r="AL316" s="263">
        <f t="shared" ca="1" si="268"/>
        <v>4.0419911923418093E-5</v>
      </c>
      <c r="AM316" s="264"/>
      <c r="AN316" s="255"/>
      <c r="AO316" s="240"/>
      <c r="AP316" s="262"/>
      <c r="AY316" s="299">
        <f t="shared" si="61"/>
        <v>42</v>
      </c>
      <c r="AZ316" s="299">
        <f t="shared" ref="AZ316:BB316" si="278">AZ306+1</f>
        <v>64</v>
      </c>
      <c r="BA316" s="299">
        <f t="shared" si="278"/>
        <v>124</v>
      </c>
      <c r="BB316" s="299">
        <f t="shared" si="278"/>
        <v>172</v>
      </c>
    </row>
    <row r="317" spans="1:54" s="256" customFormat="1" ht="11.4" customHeight="1">
      <c r="A317" s="240"/>
      <c r="B317" s="341"/>
      <c r="C317" s="346"/>
      <c r="D317" s="348" t="s">
        <v>2417</v>
      </c>
      <c r="E317" s="348"/>
      <c r="F317" s="348"/>
      <c r="G317" s="348"/>
      <c r="H317" s="348"/>
      <c r="I317" s="348"/>
      <c r="J317" s="348"/>
      <c r="K317" s="348"/>
      <c r="L317" s="302" t="s">
        <v>2423</v>
      </c>
      <c r="M317" s="261"/>
      <c r="N317" s="368" t="s">
        <v>45</v>
      </c>
      <c r="O317" s="369"/>
      <c r="P317" s="325">
        <f t="shared" ca="1" si="43"/>
        <v>3.5000000000000003E-2</v>
      </c>
      <c r="Q317" s="324"/>
      <c r="R317" s="311" t="str">
        <f t="shared" ca="1" si="44"/>
        <v>C</v>
      </c>
      <c r="S317" s="326">
        <f t="shared" ca="1" si="45"/>
        <v>5.2500000000000003E-3</v>
      </c>
      <c r="T317" s="327"/>
      <c r="U317" s="314">
        <f t="shared" ca="1" si="263"/>
        <v>0.15</v>
      </c>
      <c r="V317" s="315"/>
      <c r="W317" s="316">
        <f t="shared" ref="W317" ca="1" si="279">IFERROR(P315*P316/(P317/P314+P316)^2,"")</f>
        <v>2.7247138299868645</v>
      </c>
      <c r="X317" s="317"/>
      <c r="Y317" s="318"/>
      <c r="Z317" s="319">
        <f t="shared" ca="1" si="265"/>
        <v>1.4304747607431039E-2</v>
      </c>
      <c r="AA317" s="320"/>
      <c r="AB317" s="321"/>
      <c r="AC317" s="322">
        <f t="shared" ref="AC317" ca="1" si="280">IFERROR(Z317/P319,"")</f>
        <v>0.13561643835616438</v>
      </c>
      <c r="AD317" s="323"/>
      <c r="AE317" s="385">
        <f t="shared" ref="AE317" ca="1" si="281">IFERROR(AL317/AL319,"")</f>
        <v>0.80481195598620425</v>
      </c>
      <c r="AF317" s="387"/>
      <c r="AG317" s="339"/>
      <c r="AH317" s="241"/>
      <c r="AI317" s="262"/>
      <c r="AJ317" s="262"/>
      <c r="AK317" s="262"/>
      <c r="AL317" s="263">
        <f t="shared" ca="1" si="268"/>
        <v>2.0462580411230403E-4</v>
      </c>
      <c r="AM317" s="264"/>
      <c r="AN317" s="255"/>
      <c r="AO317" s="240"/>
      <c r="AP317" s="262"/>
      <c r="AY317" s="299">
        <f t="shared" si="61"/>
        <v>42</v>
      </c>
      <c r="AZ317" s="299">
        <f t="shared" ref="AZ317:BB317" si="282">AZ307+1</f>
        <v>76</v>
      </c>
      <c r="BA317" s="299">
        <f t="shared" si="282"/>
        <v>136</v>
      </c>
      <c r="BB317" s="299">
        <f t="shared" si="282"/>
        <v>184</v>
      </c>
    </row>
    <row r="318" spans="1:54" s="256" customFormat="1" ht="11.4" customHeight="1">
      <c r="A318" s="240"/>
      <c r="B318" s="341"/>
      <c r="C318" s="347"/>
      <c r="D318" s="348"/>
      <c r="E318" s="370" t="s">
        <v>2424</v>
      </c>
      <c r="F318" s="371"/>
      <c r="G318" s="371"/>
      <c r="H318" s="349"/>
      <c r="I318" s="372"/>
      <c r="J318" s="371"/>
      <c r="K318" s="371"/>
      <c r="L318" s="373"/>
      <c r="M318" s="374"/>
      <c r="N318" s="375" t="s">
        <v>46</v>
      </c>
      <c r="O318" s="376"/>
      <c r="P318" s="392">
        <f t="shared" ref="P318" ca="1" si="283">IFERROR(1/(1/P314+P316/P317),"")</f>
        <v>0.10547945205479453</v>
      </c>
      <c r="Q318" s="393"/>
      <c r="R318" s="355"/>
      <c r="S318" s="355"/>
      <c r="T318" s="356"/>
      <c r="U318" s="355"/>
      <c r="V318" s="357"/>
      <c r="W318" s="355"/>
      <c r="X318" s="357"/>
      <c r="Y318" s="357"/>
      <c r="Z318" s="354" t="s">
        <v>2411</v>
      </c>
      <c r="AA318" s="358"/>
      <c r="AB318" s="358"/>
      <c r="AC318" s="359"/>
      <c r="AD318" s="358"/>
      <c r="AE318" s="388"/>
      <c r="AF318" s="389"/>
      <c r="AG318" s="339"/>
      <c r="AH318" s="241"/>
      <c r="AI318" s="240"/>
      <c r="AJ318" s="240"/>
      <c r="AK318" s="240"/>
      <c r="AL318" s="265"/>
      <c r="AM318" s="265"/>
      <c r="AN318" s="255"/>
      <c r="AO318" s="240"/>
      <c r="AU318" s="406" t="s">
        <v>2419</v>
      </c>
      <c r="AW318" s="301"/>
    </row>
    <row r="319" spans="1:54" s="256" customFormat="1" ht="11.4" customHeight="1">
      <c r="A319" s="240"/>
      <c r="B319" s="341"/>
      <c r="C319" s="367" t="s">
        <v>2425</v>
      </c>
      <c r="D319" s="348"/>
      <c r="E319" s="348"/>
      <c r="F319" s="348"/>
      <c r="G319" s="348"/>
      <c r="H319" s="349"/>
      <c r="I319" s="350"/>
      <c r="J319" s="348"/>
      <c r="K319" s="348"/>
      <c r="L319" s="360"/>
      <c r="M319" s="361"/>
      <c r="N319" s="368" t="s">
        <v>46</v>
      </c>
      <c r="O319" s="369"/>
      <c r="P319" s="328">
        <f t="shared" ref="P319" ca="1" si="284">IFERROR((1-P315)*P314+P315*1/(1/P314+P316/P317),P314)</f>
        <v>0.10547945205479453</v>
      </c>
      <c r="Q319" s="329"/>
      <c r="R319" s="362"/>
      <c r="S319" s="362"/>
      <c r="T319" s="363"/>
      <c r="U319" s="362"/>
      <c r="V319" s="364"/>
      <c r="W319" s="362"/>
      <c r="X319" s="364"/>
      <c r="Y319" s="364"/>
      <c r="Z319" s="330">
        <f t="shared" ref="Z319" ca="1" si="285">IF(P314&gt;0,IFERROR(SQRT(SUMPRODUCT(Z314:Z317,Z314:Z317)),""),"")</f>
        <v>1.5945310837621209E-2</v>
      </c>
      <c r="AA319" s="331"/>
      <c r="AB319" s="332"/>
      <c r="AC319" s="322">
        <f t="shared" ref="AC319:AC350" ca="1" si="286">IFERROR(Z319/P319,"")</f>
        <v>0.15116983001900625</v>
      </c>
      <c r="AD319" s="323"/>
      <c r="AE319" s="390">
        <f t="shared" ref="AE319:AE350" ca="1" si="287">IFERROR(AL319/AL319,"")</f>
        <v>1</v>
      </c>
      <c r="AF319" s="391"/>
      <c r="AG319" s="341"/>
      <c r="AH319" s="241"/>
      <c r="AI319" s="262"/>
      <c r="AJ319" s="262"/>
      <c r="AK319" s="262"/>
      <c r="AL319" s="263">
        <f t="shared" ref="AL319" ca="1" si="288">SUM(AL314:AL317)</f>
        <v>2.5425293770836035E-4</v>
      </c>
      <c r="AM319" s="264"/>
      <c r="AN319" s="255"/>
      <c r="AO319" s="240"/>
      <c r="AP319" s="260"/>
      <c r="AU319" s="403">
        <f t="shared" ref="AU319" ca="1" si="289">OFFSET($A$1,$BA319-1,$AY319-1)</f>
        <v>0.10547945205479453</v>
      </c>
      <c r="AV319" s="404"/>
      <c r="AW319" s="405">
        <f t="shared" ref="AW319" ca="1" si="290">OFFSET($A$1,$BB319-1,$AY319-1)</f>
        <v>1.5945310837621209E-2</v>
      </c>
      <c r="AX319" s="404"/>
      <c r="AY319" s="299">
        <f t="shared" si="61"/>
        <v>42</v>
      </c>
      <c r="BA319" s="299">
        <f t="shared" ref="BA319:BB319" si="291">BA309+1</f>
        <v>88</v>
      </c>
      <c r="BB319" s="299">
        <f t="shared" si="291"/>
        <v>196</v>
      </c>
    </row>
    <row r="320" spans="1:54" s="256" customFormat="1" ht="6" customHeight="1">
      <c r="A320" s="240"/>
      <c r="B320" s="341"/>
      <c r="C320" s="377"/>
      <c r="D320" s="378"/>
      <c r="E320" s="378"/>
      <c r="F320" s="378"/>
      <c r="G320" s="378"/>
      <c r="H320" s="378"/>
      <c r="I320" s="378"/>
      <c r="J320" s="378"/>
      <c r="K320" s="378"/>
      <c r="L320" s="379"/>
      <c r="M320" s="380"/>
      <c r="N320" s="379"/>
      <c r="O320" s="380"/>
      <c r="P320" s="379"/>
      <c r="Q320" s="381"/>
      <c r="R320" s="382"/>
      <c r="S320" s="382"/>
      <c r="T320" s="383"/>
      <c r="U320" s="382"/>
      <c r="V320" s="378"/>
      <c r="W320" s="382"/>
      <c r="X320" s="378"/>
      <c r="Y320" s="378"/>
      <c r="Z320" s="382"/>
      <c r="AA320" s="378"/>
      <c r="AB320" s="378"/>
      <c r="AC320" s="382"/>
      <c r="AD320" s="378"/>
      <c r="AE320" s="382"/>
      <c r="AF320" s="384"/>
      <c r="AG320" s="339"/>
      <c r="AH320" s="241"/>
      <c r="AI320" s="240"/>
      <c r="AJ320" s="240"/>
      <c r="AK320" s="240"/>
      <c r="AL320" s="240"/>
      <c r="AM320" s="240"/>
      <c r="AN320" s="255"/>
      <c r="AO320" s="240"/>
      <c r="AP320" s="260"/>
    </row>
    <row r="321" spans="1:54" s="256" customFormat="1" ht="6" customHeight="1">
      <c r="A321" s="240"/>
      <c r="B321" s="341"/>
      <c r="C321" s="400"/>
      <c r="D321" s="400"/>
      <c r="E321" s="400"/>
      <c r="F321" s="400"/>
      <c r="G321" s="400"/>
      <c r="H321" s="400"/>
      <c r="I321" s="400"/>
      <c r="J321" s="400"/>
      <c r="K321" s="400"/>
      <c r="L321" s="401"/>
      <c r="M321" s="400"/>
      <c r="N321" s="401"/>
      <c r="O321" s="400"/>
      <c r="P321" s="401"/>
      <c r="Q321" s="402"/>
      <c r="R321" s="401"/>
      <c r="S321" s="401"/>
      <c r="T321" s="402"/>
      <c r="U321" s="401"/>
      <c r="V321" s="400"/>
      <c r="W321" s="401"/>
      <c r="X321" s="400"/>
      <c r="Y321" s="400"/>
      <c r="Z321" s="401"/>
      <c r="AA321" s="400"/>
      <c r="AB321" s="400"/>
      <c r="AC321" s="401"/>
      <c r="AD321" s="400"/>
      <c r="AE321" s="401"/>
      <c r="AF321" s="402"/>
      <c r="AG321" s="339"/>
      <c r="AH321" s="241"/>
      <c r="AI321" s="240"/>
      <c r="AJ321" s="240"/>
      <c r="AK321" s="240"/>
      <c r="AL321" s="240"/>
      <c r="AM321" s="240"/>
      <c r="AN321" s="255"/>
      <c r="AO321" s="240"/>
      <c r="AP321" s="260"/>
    </row>
    <row r="322" spans="1:54" s="256" customFormat="1" ht="11.4" customHeight="1">
      <c r="A322" s="240"/>
      <c r="B322" s="341"/>
      <c r="C322" s="394" t="str">
        <f t="shared" ref="C322" ca="1" si="292">OFFSET($A$1,$AZ323-1,$AY323-1)</f>
        <v>C.A.010</v>
      </c>
      <c r="D322" s="365"/>
      <c r="E322" s="365"/>
      <c r="F322" s="365"/>
      <c r="G322" s="365"/>
      <c r="H322" s="365"/>
      <c r="I322" s="365"/>
      <c r="J322" s="365"/>
      <c r="K322" s="366"/>
      <c r="L322" s="395" t="str">
        <f t="shared" ref="L322" ca="1" si="293">OFFSET($A$1,$BA323-1,$AY323-1)</f>
        <v>Building from 1960, no information if insulation upgrade has been performed [values used for f and d: average of all buildings*]</v>
      </c>
      <c r="M322" s="396"/>
      <c r="N322" s="396"/>
      <c r="O322" s="396"/>
      <c r="P322" s="396"/>
      <c r="Q322" s="396"/>
      <c r="R322" s="397"/>
      <c r="S322" s="397"/>
      <c r="T322" s="398"/>
      <c r="U322" s="396"/>
      <c r="V322" s="396"/>
      <c r="W322" s="396"/>
      <c r="X322" s="396"/>
      <c r="Y322" s="396"/>
      <c r="Z322" s="396"/>
      <c r="AA322" s="396"/>
      <c r="AB322" s="396"/>
      <c r="AC322" s="396"/>
      <c r="AD322" s="396"/>
      <c r="AE322" s="396"/>
      <c r="AF322" s="399"/>
      <c r="AG322" s="339"/>
      <c r="AH322" s="241"/>
      <c r="AI322" s="240"/>
      <c r="AJ322" s="240"/>
      <c r="AK322" s="240"/>
      <c r="AL322" s="240"/>
      <c r="AM322" s="240"/>
      <c r="AN322" s="255"/>
      <c r="AO322" s="240"/>
      <c r="AP322" s="260"/>
    </row>
    <row r="323" spans="1:54" s="256" customFormat="1" ht="11.4" customHeight="1">
      <c r="A323" s="240"/>
      <c r="B323" s="341"/>
      <c r="C323" s="333"/>
      <c r="D323" s="334"/>
      <c r="E323" s="334"/>
      <c r="F323" s="334"/>
      <c r="G323" s="334"/>
      <c r="H323" s="334"/>
      <c r="I323" s="334"/>
      <c r="J323" s="334"/>
      <c r="K323" s="335"/>
      <c r="L323" s="343"/>
      <c r="M323" s="348"/>
      <c r="N323" s="343"/>
      <c r="O323" s="348"/>
      <c r="P323" s="343"/>
      <c r="Q323" s="348"/>
      <c r="R323" s="343"/>
      <c r="S323" s="343"/>
      <c r="T323" s="351"/>
      <c r="U323" s="343"/>
      <c r="V323" s="348"/>
      <c r="W323" s="343"/>
      <c r="X323" s="348"/>
      <c r="Y323" s="348"/>
      <c r="Z323" s="343"/>
      <c r="AA323" s="348"/>
      <c r="AB323" s="352" t="s">
        <v>46</v>
      </c>
      <c r="AC323" s="343"/>
      <c r="AD323" s="353"/>
      <c r="AE323" s="343"/>
      <c r="AF323" s="344"/>
      <c r="AG323" s="339"/>
      <c r="AH323" s="241"/>
      <c r="AI323" s="240"/>
      <c r="AJ323" s="240"/>
      <c r="AK323" s="240"/>
      <c r="AL323" s="240"/>
      <c r="AM323" s="240"/>
      <c r="AN323" s="255"/>
      <c r="AO323" s="240"/>
      <c r="AP323" s="260"/>
      <c r="AY323" s="299">
        <f t="shared" ref="AY323" si="294">AY313</f>
        <v>42</v>
      </c>
      <c r="AZ323" s="300">
        <f t="shared" ref="AZ323:BA323" si="295">AZ313+1</f>
        <v>17</v>
      </c>
      <c r="BA323" s="300">
        <f t="shared" si="295"/>
        <v>29</v>
      </c>
    </row>
    <row r="324" spans="1:54" s="256" customFormat="1" ht="11.4" customHeight="1">
      <c r="A324" s="240"/>
      <c r="B324" s="341"/>
      <c r="C324" s="346"/>
      <c r="D324" s="348" t="s">
        <v>2414</v>
      </c>
      <c r="E324" s="348"/>
      <c r="F324" s="348"/>
      <c r="G324" s="348"/>
      <c r="H324" s="348"/>
      <c r="I324" s="348"/>
      <c r="J324" s="348"/>
      <c r="K324" s="348"/>
      <c r="L324" s="302" t="s">
        <v>2420</v>
      </c>
      <c r="M324" s="261"/>
      <c r="N324" s="368" t="s">
        <v>46</v>
      </c>
      <c r="O324" s="369"/>
      <c r="P324" s="309">
        <f t="shared" ref="P324:P347" ca="1" si="296">OFFSET($A$1,$AZ324-1,$AY324-1)</f>
        <v>1.1000000000000001</v>
      </c>
      <c r="Q324" s="310"/>
      <c r="R324" s="311" t="str">
        <f t="shared" ref="R324:R347" ca="1" si="297">OFFSET($A$1,$BA324-1,$AY324-1)</f>
        <v>D</v>
      </c>
      <c r="S324" s="312">
        <f t="shared" ref="S324:S347" ca="1" si="298">OFFSET($A$1,$BB324-1,$AY324-1)</f>
        <v>0.33</v>
      </c>
      <c r="T324" s="313"/>
      <c r="U324" s="314">
        <f t="shared" ref="U324:U350" ca="1" si="299">IFERROR(S324/P324,0)</f>
        <v>0.3</v>
      </c>
      <c r="V324" s="315"/>
      <c r="W324" s="316">
        <f t="shared" ref="W324" ca="1" si="300">IF(P324&gt;0,IFERROR((1+P325*(1/(1+P326/P327*P324)^2-1)),1),"")</f>
        <v>0.41353163872363441</v>
      </c>
      <c r="X324" s="317"/>
      <c r="Y324" s="318"/>
      <c r="Z324" s="319">
        <f t="shared" ref="Z324:Z350" ca="1" si="301">IFERROR(ABS(W324*S324),"")</f>
        <v>0.13646544077879935</v>
      </c>
      <c r="AA324" s="320"/>
      <c r="AB324" s="321"/>
      <c r="AC324" s="322">
        <f t="shared" ref="AC324" ca="1" si="302">IFERROR(Z324/P329,"")</f>
        <v>0.23667072491281649</v>
      </c>
      <c r="AD324" s="323"/>
      <c r="AE324" s="385">
        <f t="shared" ref="AE324" ca="1" si="303">IFERROR(AL324/AL329,"")</f>
        <v>0.14713820360871341</v>
      </c>
      <c r="AF324" s="386"/>
      <c r="AG324" s="339"/>
      <c r="AH324" s="241"/>
      <c r="AI324" s="262"/>
      <c r="AJ324" s="262"/>
      <c r="AK324" s="262"/>
      <c r="AL324" s="263">
        <f t="shared" ref="AL324:AL350" ca="1" si="304">IFERROR(Z324^2,0)</f>
        <v>1.8622816526951993E-2</v>
      </c>
      <c r="AM324" s="264"/>
      <c r="AN324" s="255"/>
      <c r="AO324" s="240"/>
      <c r="AP324" s="262"/>
      <c r="AY324" s="299">
        <f t="shared" ref="AY324:AY350" si="305">AY323</f>
        <v>42</v>
      </c>
      <c r="AZ324" s="299">
        <f t="shared" ref="AZ324:BB324" si="306">AZ314+1</f>
        <v>41</v>
      </c>
      <c r="BA324" s="299">
        <f t="shared" si="306"/>
        <v>101</v>
      </c>
      <c r="BB324" s="299">
        <f t="shared" si="306"/>
        <v>149</v>
      </c>
    </row>
    <row r="325" spans="1:54" s="256" customFormat="1" ht="11.4" customHeight="1">
      <c r="A325" s="240"/>
      <c r="B325" s="341"/>
      <c r="C325" s="346"/>
      <c r="D325" s="348" t="s">
        <v>2415</v>
      </c>
      <c r="E325" s="348"/>
      <c r="F325" s="348"/>
      <c r="G325" s="348"/>
      <c r="H325" s="348"/>
      <c r="I325" s="348"/>
      <c r="J325" s="348"/>
      <c r="K325" s="348"/>
      <c r="L325" s="302" t="s">
        <v>2421</v>
      </c>
      <c r="M325" s="261"/>
      <c r="N325" s="368" t="s">
        <v>1266</v>
      </c>
      <c r="O325" s="369"/>
      <c r="P325" s="309">
        <f t="shared" ca="1" si="296"/>
        <v>0.62</v>
      </c>
      <c r="Q325" s="310"/>
      <c r="R325" s="311" t="str">
        <f t="shared" ca="1" si="297"/>
        <v>E</v>
      </c>
      <c r="S325" s="312">
        <f t="shared" ca="1" si="298"/>
        <v>0.38</v>
      </c>
      <c r="T325" s="313"/>
      <c r="U325" s="314">
        <f t="shared" ca="1" si="299"/>
        <v>0.61290322580645162</v>
      </c>
      <c r="V325" s="315"/>
      <c r="W325" s="316">
        <f t="shared" ref="W325" ca="1" si="307">IFERROR((-P324+1/(1/P324+P326/P327)),"")</f>
        <v>-0.84418604651162799</v>
      </c>
      <c r="X325" s="317"/>
      <c r="Y325" s="318"/>
      <c r="Z325" s="319">
        <f t="shared" ca="1" si="301"/>
        <v>0.32079069767441865</v>
      </c>
      <c r="AA325" s="320"/>
      <c r="AB325" s="321"/>
      <c r="AC325" s="322">
        <f t="shared" ref="AC325" ca="1" si="308">IFERROR(Z325/P329,"")</f>
        <v>0.55634427684117138</v>
      </c>
      <c r="AD325" s="323"/>
      <c r="AE325" s="385">
        <f t="shared" ref="AE325" ca="1" si="309">IFERROR(AL325/AL329,"")</f>
        <v>0.8130619121710565</v>
      </c>
      <c r="AF325" s="386"/>
      <c r="AG325" s="339"/>
      <c r="AH325" s="241"/>
      <c r="AI325" s="262"/>
      <c r="AJ325" s="262"/>
      <c r="AK325" s="262"/>
      <c r="AL325" s="263">
        <f t="shared" ca="1" si="304"/>
        <v>0.10290667171444026</v>
      </c>
      <c r="AM325" s="264"/>
      <c r="AN325" s="255"/>
      <c r="AO325" s="240"/>
      <c r="AP325" s="262"/>
      <c r="AY325" s="299">
        <f t="shared" si="305"/>
        <v>42</v>
      </c>
      <c r="AZ325" s="299">
        <f t="shared" ref="AZ325:BB325" si="310">AZ315+1</f>
        <v>53</v>
      </c>
      <c r="BA325" s="299">
        <f t="shared" si="310"/>
        <v>113</v>
      </c>
      <c r="BB325" s="299">
        <f t="shared" si="310"/>
        <v>161</v>
      </c>
    </row>
    <row r="326" spans="1:54" s="256" customFormat="1" ht="11.4" customHeight="1">
      <c r="A326" s="240"/>
      <c r="B326" s="341"/>
      <c r="C326" s="346"/>
      <c r="D326" s="348" t="s">
        <v>175</v>
      </c>
      <c r="E326" s="348"/>
      <c r="F326" s="348"/>
      <c r="G326" s="348"/>
      <c r="H326" s="348"/>
      <c r="I326" s="348"/>
      <c r="J326" s="348"/>
      <c r="K326" s="348"/>
      <c r="L326" s="302" t="s">
        <v>2422</v>
      </c>
      <c r="M326" s="261"/>
      <c r="N326" s="368" t="s">
        <v>2416</v>
      </c>
      <c r="O326" s="369"/>
      <c r="P326" s="309">
        <f t="shared" ca="1" si="296"/>
        <v>0.12</v>
      </c>
      <c r="Q326" s="324"/>
      <c r="R326" s="311" t="str">
        <f t="shared" ca="1" si="297"/>
        <v>E</v>
      </c>
      <c r="S326" s="312">
        <f t="shared" ca="1" si="298"/>
        <v>0.06</v>
      </c>
      <c r="T326" s="313"/>
      <c r="U326" s="314">
        <f t="shared" ca="1" si="299"/>
        <v>0.5</v>
      </c>
      <c r="V326" s="315"/>
      <c r="W326" s="316">
        <f t="shared" ref="W326" ca="1" si="311">IFERROR(-P325*P327/(P327/P324+P326)^2,"")</f>
        <v>-1.0143320713899404</v>
      </c>
      <c r="X326" s="317"/>
      <c r="Y326" s="318"/>
      <c r="Z326" s="319">
        <f t="shared" ca="1" si="301"/>
        <v>6.085992428339642E-2</v>
      </c>
      <c r="AA326" s="320"/>
      <c r="AB326" s="321"/>
      <c r="AC326" s="322">
        <f t="shared" ref="AC326" ca="1" si="312">IFERROR(Z326/P329,"")</f>
        <v>0.10554879181197249</v>
      </c>
      <c r="AD326" s="323"/>
      <c r="AE326" s="385">
        <f t="shared" ref="AE326" ca="1" si="313">IFERROR(AL326/AL329,"")</f>
        <v>2.9264620750169095E-2</v>
      </c>
      <c r="AF326" s="387"/>
      <c r="AG326" s="339"/>
      <c r="AH326" s="241"/>
      <c r="AI326" s="262"/>
      <c r="AJ326" s="262"/>
      <c r="AK326" s="262"/>
      <c r="AL326" s="263">
        <f t="shared" ca="1" si="304"/>
        <v>3.7039303837807453E-3</v>
      </c>
      <c r="AM326" s="264"/>
      <c r="AN326" s="255"/>
      <c r="AO326" s="240"/>
      <c r="AP326" s="262"/>
      <c r="AY326" s="299">
        <f t="shared" ref="AY326:AY349" si="314">COLUMN($AP$32)</f>
        <v>42</v>
      </c>
      <c r="AZ326" s="299">
        <f t="shared" ref="AZ326:BB326" si="315">AZ316+1</f>
        <v>65</v>
      </c>
      <c r="BA326" s="299">
        <f t="shared" si="315"/>
        <v>125</v>
      </c>
      <c r="BB326" s="299">
        <f t="shared" si="315"/>
        <v>173</v>
      </c>
    </row>
    <row r="327" spans="1:54" s="256" customFormat="1" ht="11.4" customHeight="1">
      <c r="A327" s="240"/>
      <c r="B327" s="341"/>
      <c r="C327" s="346"/>
      <c r="D327" s="348" t="s">
        <v>2417</v>
      </c>
      <c r="E327" s="348"/>
      <c r="F327" s="348"/>
      <c r="G327" s="348"/>
      <c r="H327" s="348"/>
      <c r="I327" s="348"/>
      <c r="J327" s="348"/>
      <c r="K327" s="348"/>
      <c r="L327" s="302" t="s">
        <v>2423</v>
      </c>
      <c r="M327" s="261"/>
      <c r="N327" s="368" t="s">
        <v>45</v>
      </c>
      <c r="O327" s="369"/>
      <c r="P327" s="325">
        <f t="shared" ca="1" si="296"/>
        <v>0.04</v>
      </c>
      <c r="Q327" s="324"/>
      <c r="R327" s="311" t="str">
        <f t="shared" ca="1" si="297"/>
        <v>E</v>
      </c>
      <c r="S327" s="326">
        <f t="shared" ca="1" si="298"/>
        <v>1.2E-2</v>
      </c>
      <c r="T327" s="327"/>
      <c r="U327" s="314">
        <f t="shared" ca="1" si="299"/>
        <v>0.3</v>
      </c>
      <c r="V327" s="315"/>
      <c r="W327" s="316">
        <f t="shared" ref="W327" ca="1" si="316">IFERROR(P325*P326/(P327/P324+P326)^2,"")</f>
        <v>3.042996214169821</v>
      </c>
      <c r="X327" s="317"/>
      <c r="Y327" s="318"/>
      <c r="Z327" s="319">
        <f t="shared" ca="1" si="301"/>
        <v>3.6515954570037853E-2</v>
      </c>
      <c r="AA327" s="320"/>
      <c r="AB327" s="321"/>
      <c r="AC327" s="322">
        <f t="shared" ref="AC327" ca="1" si="317">IFERROR(Z327/P329,"")</f>
        <v>6.3329275087183501E-2</v>
      </c>
      <c r="AD327" s="323"/>
      <c r="AE327" s="385">
        <f t="shared" ref="AE327" ca="1" si="318">IFERROR(AL327/AL329,"")</f>
        <v>1.0535263470060875E-2</v>
      </c>
      <c r="AF327" s="387"/>
      <c r="AG327" s="339"/>
      <c r="AH327" s="241"/>
      <c r="AI327" s="262"/>
      <c r="AJ327" s="262"/>
      <c r="AK327" s="262"/>
      <c r="AL327" s="263">
        <f t="shared" ca="1" si="304"/>
        <v>1.3334149381610684E-3</v>
      </c>
      <c r="AM327" s="264"/>
      <c r="AN327" s="255"/>
      <c r="AO327" s="240"/>
      <c r="AP327" s="262"/>
      <c r="AY327" s="299">
        <f t="shared" si="314"/>
        <v>42</v>
      </c>
      <c r="AZ327" s="299">
        <f t="shared" ref="AZ327:BB327" si="319">AZ317+1</f>
        <v>77</v>
      </c>
      <c r="BA327" s="299">
        <f t="shared" si="319"/>
        <v>137</v>
      </c>
      <c r="BB327" s="299">
        <f t="shared" si="319"/>
        <v>185</v>
      </c>
    </row>
    <row r="328" spans="1:54" s="256" customFormat="1" ht="11.4" customHeight="1">
      <c r="A328" s="240"/>
      <c r="B328" s="341"/>
      <c r="C328" s="347"/>
      <c r="D328" s="348"/>
      <c r="E328" s="370" t="s">
        <v>2424</v>
      </c>
      <c r="F328" s="371"/>
      <c r="G328" s="371"/>
      <c r="H328" s="349"/>
      <c r="I328" s="372"/>
      <c r="J328" s="371"/>
      <c r="K328" s="371"/>
      <c r="L328" s="373"/>
      <c r="M328" s="374"/>
      <c r="N328" s="375" t="s">
        <v>46</v>
      </c>
      <c r="O328" s="376"/>
      <c r="P328" s="392">
        <f t="shared" ref="P328" ca="1" si="320">IFERROR(1/(1/P324+P326/P327),"")</f>
        <v>0.2558139534883721</v>
      </c>
      <c r="Q328" s="393"/>
      <c r="R328" s="355"/>
      <c r="S328" s="355"/>
      <c r="T328" s="356"/>
      <c r="U328" s="355"/>
      <c r="V328" s="357"/>
      <c r="W328" s="355"/>
      <c r="X328" s="357"/>
      <c r="Y328" s="357"/>
      <c r="Z328" s="354" t="s">
        <v>2411</v>
      </c>
      <c r="AA328" s="358"/>
      <c r="AB328" s="358"/>
      <c r="AC328" s="359"/>
      <c r="AD328" s="358"/>
      <c r="AE328" s="388"/>
      <c r="AF328" s="389"/>
      <c r="AG328" s="339"/>
      <c r="AH328" s="241"/>
      <c r="AI328" s="240"/>
      <c r="AJ328" s="240"/>
      <c r="AK328" s="240"/>
      <c r="AL328" s="265"/>
      <c r="AM328" s="265"/>
      <c r="AN328" s="255"/>
      <c r="AO328" s="240"/>
      <c r="AU328" s="406" t="s">
        <v>2419</v>
      </c>
      <c r="AW328" s="301"/>
    </row>
    <row r="329" spans="1:54" s="256" customFormat="1" ht="11.4" customHeight="1">
      <c r="A329" s="240"/>
      <c r="B329" s="341"/>
      <c r="C329" s="367" t="s">
        <v>2425</v>
      </c>
      <c r="D329" s="348"/>
      <c r="E329" s="348"/>
      <c r="F329" s="348"/>
      <c r="G329" s="348"/>
      <c r="H329" s="349"/>
      <c r="I329" s="350"/>
      <c r="J329" s="348"/>
      <c r="K329" s="348"/>
      <c r="L329" s="360"/>
      <c r="M329" s="361"/>
      <c r="N329" s="368" t="s">
        <v>46</v>
      </c>
      <c r="O329" s="369"/>
      <c r="P329" s="328">
        <f t="shared" ref="P329" ca="1" si="321">IFERROR((1-P325)*P324+P325*1/(1/P324+P326/P327),P324)</f>
        <v>0.57660465116279069</v>
      </c>
      <c r="Q329" s="329"/>
      <c r="R329" s="362"/>
      <c r="S329" s="362"/>
      <c r="T329" s="363"/>
      <c r="U329" s="362"/>
      <c r="V329" s="364"/>
      <c r="W329" s="362"/>
      <c r="X329" s="364"/>
      <c r="Y329" s="364"/>
      <c r="Z329" s="330">
        <f t="shared" ref="Z329" ca="1" si="322">IF(P324&gt;0,IFERROR(SQRT(SUMPRODUCT(Z324:Z327,Z324:Z327)),""),"")</f>
        <v>0.35576232735259378</v>
      </c>
      <c r="AA329" s="331"/>
      <c r="AB329" s="332"/>
      <c r="AC329" s="322">
        <f t="shared" ref="AC329:AC350" ca="1" si="323">IFERROR(Z329/P329,"")</f>
        <v>0.61699524385583338</v>
      </c>
      <c r="AD329" s="323"/>
      <c r="AE329" s="390">
        <f t="shared" ref="AE329:AE350" ca="1" si="324">IFERROR(AL329/AL329,"")</f>
        <v>1</v>
      </c>
      <c r="AF329" s="391"/>
      <c r="AG329" s="341"/>
      <c r="AH329" s="241"/>
      <c r="AI329" s="262"/>
      <c r="AJ329" s="262"/>
      <c r="AK329" s="262"/>
      <c r="AL329" s="263">
        <f t="shared" ref="AL329" ca="1" si="325">SUM(AL324:AL327)</f>
        <v>0.12656683356333409</v>
      </c>
      <c r="AM329" s="264"/>
      <c r="AN329" s="255"/>
      <c r="AO329" s="240"/>
      <c r="AP329" s="260"/>
      <c r="AU329" s="403">
        <f t="shared" ref="AU329" ca="1" si="326">OFFSET($A$1,$BA329-1,$AY329-1)</f>
        <v>0.57660465116279069</v>
      </c>
      <c r="AV329" s="404"/>
      <c r="AW329" s="405">
        <f t="shared" ref="AW329" ca="1" si="327">OFFSET($A$1,$BB329-1,$AY329-1)</f>
        <v>0.35576232735259378</v>
      </c>
      <c r="AX329" s="404"/>
      <c r="AY329" s="299">
        <f t="shared" si="314"/>
        <v>42</v>
      </c>
      <c r="BA329" s="299">
        <f t="shared" ref="BA329:BB329" si="328">BA319+1</f>
        <v>89</v>
      </c>
      <c r="BB329" s="299">
        <f t="shared" si="328"/>
        <v>197</v>
      </c>
    </row>
    <row r="330" spans="1:54" s="256" customFormat="1" ht="6" customHeight="1">
      <c r="A330" s="240"/>
      <c r="B330" s="341"/>
      <c r="C330" s="377"/>
      <c r="D330" s="378"/>
      <c r="E330" s="378"/>
      <c r="F330" s="378"/>
      <c r="G330" s="378"/>
      <c r="H330" s="378"/>
      <c r="I330" s="378"/>
      <c r="J330" s="378"/>
      <c r="K330" s="378"/>
      <c r="L330" s="379"/>
      <c r="M330" s="380"/>
      <c r="N330" s="379"/>
      <c r="O330" s="380"/>
      <c r="P330" s="379"/>
      <c r="Q330" s="381"/>
      <c r="R330" s="382"/>
      <c r="S330" s="382"/>
      <c r="T330" s="383"/>
      <c r="U330" s="382"/>
      <c r="V330" s="378"/>
      <c r="W330" s="382"/>
      <c r="X330" s="378"/>
      <c r="Y330" s="378"/>
      <c r="Z330" s="382"/>
      <c r="AA330" s="378"/>
      <c r="AB330" s="378"/>
      <c r="AC330" s="382"/>
      <c r="AD330" s="378"/>
      <c r="AE330" s="382"/>
      <c r="AF330" s="384"/>
      <c r="AG330" s="339"/>
      <c r="AH330" s="241"/>
      <c r="AI330" s="240"/>
      <c r="AJ330" s="240"/>
      <c r="AK330" s="240"/>
      <c r="AL330" s="240"/>
      <c r="AM330" s="240"/>
      <c r="AN330" s="255"/>
      <c r="AO330" s="240"/>
      <c r="AP330" s="260"/>
    </row>
    <row r="331" spans="1:54" s="256" customFormat="1" ht="6" customHeight="1">
      <c r="A331" s="240"/>
      <c r="B331" s="341"/>
      <c r="C331" s="400"/>
      <c r="D331" s="400"/>
      <c r="E331" s="400"/>
      <c r="F331" s="400"/>
      <c r="G331" s="400"/>
      <c r="H331" s="400"/>
      <c r="I331" s="400"/>
      <c r="J331" s="400"/>
      <c r="K331" s="400"/>
      <c r="L331" s="401"/>
      <c r="M331" s="400"/>
      <c r="N331" s="401"/>
      <c r="O331" s="400"/>
      <c r="P331" s="401"/>
      <c r="Q331" s="402"/>
      <c r="R331" s="401"/>
      <c r="S331" s="401"/>
      <c r="T331" s="402"/>
      <c r="U331" s="401"/>
      <c r="V331" s="400"/>
      <c r="W331" s="401"/>
      <c r="X331" s="400"/>
      <c r="Y331" s="400"/>
      <c r="Z331" s="401"/>
      <c r="AA331" s="400"/>
      <c r="AB331" s="400"/>
      <c r="AC331" s="401"/>
      <c r="AD331" s="400"/>
      <c r="AE331" s="401"/>
      <c r="AF331" s="402"/>
      <c r="AG331" s="339"/>
      <c r="AH331" s="241"/>
      <c r="AI331" s="240"/>
      <c r="AJ331" s="240"/>
      <c r="AK331" s="240"/>
      <c r="AL331" s="240"/>
      <c r="AM331" s="240"/>
      <c r="AN331" s="255"/>
      <c r="AO331" s="240"/>
      <c r="AP331" s="260"/>
    </row>
    <row r="332" spans="1:54" s="256" customFormat="1" ht="11.4" customHeight="1">
      <c r="A332" s="240"/>
      <c r="B332" s="341"/>
      <c r="C332" s="394" t="str">
        <f t="shared" ref="C332" ca="1" si="329">OFFSET($A$1,$AZ333-1,$AY333-1)</f>
        <v>C.A.011</v>
      </c>
      <c r="D332" s="365"/>
      <c r="E332" s="365"/>
      <c r="F332" s="365"/>
      <c r="G332" s="365"/>
      <c r="H332" s="365"/>
      <c r="I332" s="365"/>
      <c r="J332" s="365"/>
      <c r="K332" s="366"/>
      <c r="L332" s="395" t="str">
        <f t="shared" ref="L332" ca="1" si="330">OFFSET($A$1,$BA333-1,$AY333-1)</f>
        <v>Building from 1960, insulation upgrade in 1990; no information about d and f [values used: average of refurbished buildings*]</v>
      </c>
      <c r="M332" s="396"/>
      <c r="N332" s="396"/>
      <c r="O332" s="396"/>
      <c r="P332" s="396"/>
      <c r="Q332" s="396"/>
      <c r="R332" s="397"/>
      <c r="S332" s="397"/>
      <c r="T332" s="398"/>
      <c r="U332" s="396"/>
      <c r="V332" s="396"/>
      <c r="W332" s="396"/>
      <c r="X332" s="396"/>
      <c r="Y332" s="396"/>
      <c r="Z332" s="396"/>
      <c r="AA332" s="396"/>
      <c r="AB332" s="396"/>
      <c r="AC332" s="396"/>
      <c r="AD332" s="396"/>
      <c r="AE332" s="396"/>
      <c r="AF332" s="399"/>
      <c r="AG332" s="339"/>
      <c r="AH332" s="241"/>
      <c r="AI332" s="240"/>
      <c r="AJ332" s="240"/>
      <c r="AK332" s="240"/>
      <c r="AL332" s="240"/>
      <c r="AM332" s="240"/>
      <c r="AN332" s="255"/>
      <c r="AO332" s="240"/>
      <c r="AP332" s="260"/>
    </row>
    <row r="333" spans="1:54" s="256" customFormat="1" ht="11.4" customHeight="1">
      <c r="A333" s="240"/>
      <c r="B333" s="341"/>
      <c r="C333" s="333"/>
      <c r="D333" s="334"/>
      <c r="E333" s="334"/>
      <c r="F333" s="334"/>
      <c r="G333" s="334"/>
      <c r="H333" s="334"/>
      <c r="I333" s="334"/>
      <c r="J333" s="334"/>
      <c r="K333" s="335"/>
      <c r="L333" s="343"/>
      <c r="M333" s="348"/>
      <c r="N333" s="343"/>
      <c r="O333" s="348"/>
      <c r="P333" s="343"/>
      <c r="Q333" s="348"/>
      <c r="R333" s="343"/>
      <c r="S333" s="343"/>
      <c r="T333" s="351"/>
      <c r="U333" s="343"/>
      <c r="V333" s="348"/>
      <c r="W333" s="343"/>
      <c r="X333" s="348"/>
      <c r="Y333" s="348"/>
      <c r="Z333" s="343"/>
      <c r="AA333" s="348"/>
      <c r="AB333" s="352" t="s">
        <v>46</v>
      </c>
      <c r="AC333" s="343"/>
      <c r="AD333" s="353"/>
      <c r="AE333" s="343"/>
      <c r="AF333" s="344"/>
      <c r="AG333" s="339"/>
      <c r="AH333" s="241"/>
      <c r="AI333" s="240"/>
      <c r="AJ333" s="240"/>
      <c r="AK333" s="240"/>
      <c r="AL333" s="240"/>
      <c r="AM333" s="240"/>
      <c r="AN333" s="255"/>
      <c r="AO333" s="240"/>
      <c r="AP333" s="260"/>
      <c r="AY333" s="299">
        <f t="shared" ref="AY333" si="331">AY323</f>
        <v>42</v>
      </c>
      <c r="AZ333" s="300">
        <f t="shared" ref="AZ333:BA333" si="332">AZ323+1</f>
        <v>18</v>
      </c>
      <c r="BA333" s="300">
        <f t="shared" si="332"/>
        <v>30</v>
      </c>
    </row>
    <row r="334" spans="1:54" s="256" customFormat="1" ht="11.4" customHeight="1">
      <c r="A334" s="240"/>
      <c r="B334" s="341"/>
      <c r="C334" s="346"/>
      <c r="D334" s="348" t="s">
        <v>2414</v>
      </c>
      <c r="E334" s="348"/>
      <c r="F334" s="348"/>
      <c r="G334" s="348"/>
      <c r="H334" s="348"/>
      <c r="I334" s="348"/>
      <c r="J334" s="348"/>
      <c r="K334" s="348"/>
      <c r="L334" s="302" t="s">
        <v>2420</v>
      </c>
      <c r="M334" s="261"/>
      <c r="N334" s="368" t="s">
        <v>46</v>
      </c>
      <c r="O334" s="369"/>
      <c r="P334" s="309">
        <f t="shared" ref="P334" ca="1" si="333">OFFSET($A$1,$AZ334-1,$AY334-1)</f>
        <v>1.1000000000000001</v>
      </c>
      <c r="Q334" s="310"/>
      <c r="R334" s="311" t="str">
        <f t="shared" ref="R334" ca="1" si="334">OFFSET($A$1,$BA334-1,$AY334-1)</f>
        <v>D</v>
      </c>
      <c r="S334" s="312">
        <f t="shared" ref="S334" ca="1" si="335">OFFSET($A$1,$BB334-1,$AY334-1)</f>
        <v>0.33</v>
      </c>
      <c r="T334" s="313"/>
      <c r="U334" s="314">
        <f t="shared" ref="U334:U350" ca="1" si="336">IFERROR(S334/P334,0)</f>
        <v>0.3</v>
      </c>
      <c r="V334" s="315"/>
      <c r="W334" s="316">
        <f t="shared" ref="W334" ca="1" si="337">IF(P334&gt;0,IFERROR((1+P335*(1/(1+P336/P337*P334)^2-1)),1),"")</f>
        <v>0.17453030381450241</v>
      </c>
      <c r="X334" s="317"/>
      <c r="Y334" s="318"/>
      <c r="Z334" s="319">
        <f t="shared" ref="Z334:Z350" ca="1" si="338">IFERROR(ABS(W334*S334),"")</f>
        <v>5.7595000258785799E-2</v>
      </c>
      <c r="AA334" s="320"/>
      <c r="AB334" s="321"/>
      <c r="AC334" s="322">
        <f t="shared" ref="AC334" ca="1" si="339">IFERROR(Z334/P339,"")</f>
        <v>0.14584997332795091</v>
      </c>
      <c r="AD334" s="323"/>
      <c r="AE334" s="385">
        <f t="shared" ref="AE334" ca="1" si="340">IFERROR(AL334/AL339,"")</f>
        <v>0.18752206964983417</v>
      </c>
      <c r="AF334" s="386"/>
      <c r="AG334" s="339"/>
      <c r="AH334" s="241"/>
      <c r="AI334" s="262"/>
      <c r="AJ334" s="262"/>
      <c r="AK334" s="262"/>
      <c r="AL334" s="263">
        <f t="shared" ref="AL334:AL350" ca="1" si="341">IFERROR(Z334^2,0)</f>
        <v>3.3171840548095362E-3</v>
      </c>
      <c r="AM334" s="264"/>
      <c r="AN334" s="255"/>
      <c r="AO334" s="240"/>
      <c r="AP334" s="262"/>
      <c r="AY334" s="299">
        <f t="shared" ref="AY334:AY350" si="342">AY333</f>
        <v>42</v>
      </c>
      <c r="AZ334" s="299">
        <f t="shared" ref="AZ334:BB334" si="343">AZ324+1</f>
        <v>42</v>
      </c>
      <c r="BA334" s="299">
        <f t="shared" si="343"/>
        <v>102</v>
      </c>
      <c r="BB334" s="299">
        <f t="shared" si="343"/>
        <v>150</v>
      </c>
    </row>
    <row r="335" spans="1:54" s="256" customFormat="1" ht="11.4" customHeight="1">
      <c r="A335" s="240"/>
      <c r="B335" s="341"/>
      <c r="C335" s="346"/>
      <c r="D335" s="348" t="s">
        <v>2415</v>
      </c>
      <c r="E335" s="348"/>
      <c r="F335" s="348"/>
      <c r="G335" s="348"/>
      <c r="H335" s="348"/>
      <c r="I335" s="348"/>
      <c r="J335" s="348"/>
      <c r="K335" s="348"/>
      <c r="L335" s="302" t="s">
        <v>2421</v>
      </c>
      <c r="M335" s="261"/>
      <c r="N335" s="368" t="s">
        <v>1266</v>
      </c>
      <c r="O335" s="369"/>
      <c r="P335" s="309">
        <f t="shared" ca="1" si="296"/>
        <v>0.9</v>
      </c>
      <c r="Q335" s="310"/>
      <c r="R335" s="311" t="str">
        <f t="shared" ca="1" si="297"/>
        <v>D</v>
      </c>
      <c r="S335" s="312">
        <f t="shared" ca="1" si="298"/>
        <v>9.9999999999999978E-2</v>
      </c>
      <c r="T335" s="313"/>
      <c r="U335" s="314">
        <f t="shared" ca="1" si="336"/>
        <v>0.11111111111111108</v>
      </c>
      <c r="V335" s="315"/>
      <c r="W335" s="316">
        <f t="shared" ref="W335" ca="1" si="344">IFERROR((-P334+1/(1/P334+P336/P337)),"")</f>
        <v>-0.783453237410072</v>
      </c>
      <c r="X335" s="317"/>
      <c r="Y335" s="318"/>
      <c r="Z335" s="319">
        <f t="shared" ca="1" si="338"/>
        <v>7.8345323741007181E-2</v>
      </c>
      <c r="AA335" s="320"/>
      <c r="AB335" s="321"/>
      <c r="AC335" s="322">
        <f t="shared" ref="AC335" ca="1" si="345">IFERROR(Z335/P339,"")</f>
        <v>0.19839679358717432</v>
      </c>
      <c r="AD335" s="323"/>
      <c r="AE335" s="385">
        <f t="shared" ref="AE335" ca="1" si="346">IFERROR(AL335/AL339,"")</f>
        <v>0.34698362309178721</v>
      </c>
      <c r="AF335" s="386"/>
      <c r="AG335" s="339"/>
      <c r="AH335" s="241"/>
      <c r="AI335" s="262"/>
      <c r="AJ335" s="262"/>
      <c r="AK335" s="262"/>
      <c r="AL335" s="263">
        <f t="shared" ca="1" si="341"/>
        <v>6.1379897520832238E-3</v>
      </c>
      <c r="AM335" s="264"/>
      <c r="AN335" s="255"/>
      <c r="AO335" s="240"/>
      <c r="AP335" s="262"/>
      <c r="AY335" s="299">
        <f t="shared" si="342"/>
        <v>42</v>
      </c>
      <c r="AZ335" s="299">
        <f t="shared" ref="AZ335:BB335" si="347">AZ325+1</f>
        <v>54</v>
      </c>
      <c r="BA335" s="299">
        <f t="shared" si="347"/>
        <v>114</v>
      </c>
      <c r="BB335" s="299">
        <f t="shared" si="347"/>
        <v>162</v>
      </c>
    </row>
    <row r="336" spans="1:54" s="256" customFormat="1" ht="11.4" customHeight="1">
      <c r="A336" s="240"/>
      <c r="B336" s="341"/>
      <c r="C336" s="346"/>
      <c r="D336" s="348" t="s">
        <v>175</v>
      </c>
      <c r="E336" s="348"/>
      <c r="F336" s="348"/>
      <c r="G336" s="348"/>
      <c r="H336" s="348"/>
      <c r="I336" s="348"/>
      <c r="J336" s="348"/>
      <c r="K336" s="348"/>
      <c r="L336" s="302" t="s">
        <v>2422</v>
      </c>
      <c r="M336" s="261"/>
      <c r="N336" s="368" t="s">
        <v>2416</v>
      </c>
      <c r="O336" s="369"/>
      <c r="P336" s="309">
        <f t="shared" ca="1" si="296"/>
        <v>0.09</v>
      </c>
      <c r="Q336" s="324"/>
      <c r="R336" s="311" t="str">
        <f t="shared" ca="1" si="297"/>
        <v>D</v>
      </c>
      <c r="S336" s="312">
        <f t="shared" ca="1" si="298"/>
        <v>3.6000000000000004E-2</v>
      </c>
      <c r="T336" s="313"/>
      <c r="U336" s="314">
        <f t="shared" ca="1" si="336"/>
        <v>0.40000000000000008</v>
      </c>
      <c r="V336" s="315"/>
      <c r="W336" s="316">
        <f t="shared" ref="W336" ca="1" si="348">IFERROR(-P335*P337/(P337/P334+P336)^2,"")</f>
        <v>-2.254541690388697</v>
      </c>
      <c r="X336" s="317"/>
      <c r="Y336" s="318"/>
      <c r="Z336" s="319">
        <f t="shared" ca="1" si="338"/>
        <v>8.1163500853993098E-2</v>
      </c>
      <c r="AA336" s="320"/>
      <c r="AB336" s="321"/>
      <c r="AC336" s="322">
        <f t="shared" ref="AC336" ca="1" si="349">IFERROR(Z336/P339,"")</f>
        <v>0.2055333688960656</v>
      </c>
      <c r="AD336" s="323"/>
      <c r="AE336" s="385">
        <f t="shared" ref="AE336" ca="1" si="350">IFERROR(AL336/AL339,"")</f>
        <v>0.37239544580670297</v>
      </c>
      <c r="AF336" s="387"/>
      <c r="AG336" s="339"/>
      <c r="AH336" s="241"/>
      <c r="AI336" s="262"/>
      <c r="AJ336" s="262"/>
      <c r="AK336" s="262"/>
      <c r="AL336" s="263">
        <f t="shared" ca="1" si="341"/>
        <v>6.5875138708761383E-3</v>
      </c>
      <c r="AM336" s="264"/>
      <c r="AN336" s="255"/>
      <c r="AO336" s="240"/>
      <c r="AP336" s="262"/>
      <c r="AY336" s="299">
        <f t="shared" si="314"/>
        <v>42</v>
      </c>
      <c r="AZ336" s="299">
        <f t="shared" ref="AZ336:BB336" si="351">AZ326+1</f>
        <v>66</v>
      </c>
      <c r="BA336" s="299">
        <f t="shared" si="351"/>
        <v>126</v>
      </c>
      <c r="BB336" s="299">
        <f t="shared" si="351"/>
        <v>174</v>
      </c>
    </row>
    <row r="337" spans="1:54" s="256" customFormat="1" ht="11.4" customHeight="1">
      <c r="A337" s="240"/>
      <c r="B337" s="341"/>
      <c r="C337" s="346"/>
      <c r="D337" s="348" t="s">
        <v>2417</v>
      </c>
      <c r="E337" s="348"/>
      <c r="F337" s="348"/>
      <c r="G337" s="348"/>
      <c r="H337" s="348"/>
      <c r="I337" s="348"/>
      <c r="J337" s="348"/>
      <c r="K337" s="348"/>
      <c r="L337" s="302" t="s">
        <v>2423</v>
      </c>
      <c r="M337" s="261"/>
      <c r="N337" s="368" t="s">
        <v>45</v>
      </c>
      <c r="O337" s="369"/>
      <c r="P337" s="325">
        <f t="shared" ca="1" si="296"/>
        <v>0.04</v>
      </c>
      <c r="Q337" s="324"/>
      <c r="R337" s="311" t="str">
        <f t="shared" ca="1" si="297"/>
        <v>D</v>
      </c>
      <c r="S337" s="326">
        <f t="shared" ca="1" si="298"/>
        <v>8.0000000000000002E-3</v>
      </c>
      <c r="T337" s="327"/>
      <c r="U337" s="314">
        <f t="shared" ca="1" si="336"/>
        <v>0.2</v>
      </c>
      <c r="V337" s="315"/>
      <c r="W337" s="316">
        <f t="shared" ref="W337" ca="1" si="352">IFERROR(P335*P336/(P337/P334+P336)^2,"")</f>
        <v>5.0727188033745678</v>
      </c>
      <c r="X337" s="317"/>
      <c r="Y337" s="318"/>
      <c r="Z337" s="319">
        <f t="shared" ca="1" si="338"/>
        <v>4.0581750426996542E-2</v>
      </c>
      <c r="AA337" s="320"/>
      <c r="AB337" s="321"/>
      <c r="AC337" s="322">
        <f t="shared" ref="AC337" ca="1" si="353">IFERROR(Z337/P339,"")</f>
        <v>0.10276668444803277</v>
      </c>
      <c r="AD337" s="323"/>
      <c r="AE337" s="385">
        <f t="shared" ref="AE337" ca="1" si="354">IFERROR(AL337/AL339,"")</f>
        <v>9.3098861451675702E-2</v>
      </c>
      <c r="AF337" s="387"/>
      <c r="AG337" s="339"/>
      <c r="AH337" s="241"/>
      <c r="AI337" s="262"/>
      <c r="AJ337" s="262"/>
      <c r="AK337" s="262"/>
      <c r="AL337" s="263">
        <f t="shared" ca="1" si="341"/>
        <v>1.6468784677190339E-3</v>
      </c>
      <c r="AM337" s="264"/>
      <c r="AN337" s="255"/>
      <c r="AO337" s="240"/>
      <c r="AP337" s="262"/>
      <c r="AY337" s="299">
        <f t="shared" si="314"/>
        <v>42</v>
      </c>
      <c r="AZ337" s="299">
        <f t="shared" ref="AZ337:BB337" si="355">AZ327+1</f>
        <v>78</v>
      </c>
      <c r="BA337" s="299">
        <f t="shared" si="355"/>
        <v>138</v>
      </c>
      <c r="BB337" s="299">
        <f t="shared" si="355"/>
        <v>186</v>
      </c>
    </row>
    <row r="338" spans="1:54" s="256" customFormat="1" ht="11.4" customHeight="1">
      <c r="A338" s="240"/>
      <c r="B338" s="341"/>
      <c r="C338" s="347"/>
      <c r="D338" s="348"/>
      <c r="E338" s="370" t="s">
        <v>2424</v>
      </c>
      <c r="F338" s="371"/>
      <c r="G338" s="371"/>
      <c r="H338" s="349"/>
      <c r="I338" s="372"/>
      <c r="J338" s="371"/>
      <c r="K338" s="371"/>
      <c r="L338" s="373"/>
      <c r="M338" s="374"/>
      <c r="N338" s="375" t="s">
        <v>46</v>
      </c>
      <c r="O338" s="376"/>
      <c r="P338" s="392">
        <f t="shared" ref="P338" ca="1" si="356">IFERROR(1/(1/P334+P336/P337),"")</f>
        <v>0.31654676258992803</v>
      </c>
      <c r="Q338" s="393"/>
      <c r="R338" s="355"/>
      <c r="S338" s="355"/>
      <c r="T338" s="356"/>
      <c r="U338" s="355"/>
      <c r="V338" s="357"/>
      <c r="W338" s="355"/>
      <c r="X338" s="357"/>
      <c r="Y338" s="357"/>
      <c r="Z338" s="354" t="s">
        <v>2411</v>
      </c>
      <c r="AA338" s="358"/>
      <c r="AB338" s="358"/>
      <c r="AC338" s="359"/>
      <c r="AD338" s="358"/>
      <c r="AE338" s="388"/>
      <c r="AF338" s="389"/>
      <c r="AG338" s="339"/>
      <c r="AH338" s="241"/>
      <c r="AI338" s="240"/>
      <c r="AJ338" s="240"/>
      <c r="AK338" s="240"/>
      <c r="AL338" s="265"/>
      <c r="AM338" s="265"/>
      <c r="AN338" s="255"/>
      <c r="AO338" s="240"/>
      <c r="AU338" s="406" t="s">
        <v>2419</v>
      </c>
      <c r="AW338" s="301"/>
    </row>
    <row r="339" spans="1:54" s="256" customFormat="1" ht="11.4" customHeight="1">
      <c r="A339" s="240"/>
      <c r="B339" s="341"/>
      <c r="C339" s="367" t="s">
        <v>2425</v>
      </c>
      <c r="D339" s="348"/>
      <c r="E339" s="348"/>
      <c r="F339" s="348"/>
      <c r="G339" s="348"/>
      <c r="H339" s="349"/>
      <c r="I339" s="350"/>
      <c r="J339" s="348"/>
      <c r="K339" s="348"/>
      <c r="L339" s="360"/>
      <c r="M339" s="361"/>
      <c r="N339" s="368" t="s">
        <v>46</v>
      </c>
      <c r="O339" s="369"/>
      <c r="P339" s="328">
        <f t="shared" ref="P339" ca="1" si="357">IFERROR((1-P335)*P334+P335*1/(1/P334+P336/P337),P334)</f>
        <v>0.39489208633093525</v>
      </c>
      <c r="Q339" s="329"/>
      <c r="R339" s="362"/>
      <c r="S339" s="362"/>
      <c r="T339" s="363"/>
      <c r="U339" s="362"/>
      <c r="V339" s="364"/>
      <c r="W339" s="362"/>
      <c r="X339" s="364"/>
      <c r="Y339" s="364"/>
      <c r="Z339" s="330">
        <f t="shared" ref="Z339" ca="1" si="358">IF(P334&gt;0,IFERROR(SQRT(SUMPRODUCT(Z334:Z337,Z334:Z337)),""),"")</f>
        <v>0.1330021283494664</v>
      </c>
      <c r="AA339" s="331"/>
      <c r="AB339" s="332"/>
      <c r="AC339" s="322">
        <f t="shared" ref="AC339:AC350" ca="1" si="359">IFERROR(Z339/P339,"")</f>
        <v>0.33680626417518361</v>
      </c>
      <c r="AD339" s="323"/>
      <c r="AE339" s="390">
        <f t="shared" ref="AE339:AE350" ca="1" si="360">IFERROR(AL339/AL339,"")</f>
        <v>1</v>
      </c>
      <c r="AF339" s="391"/>
      <c r="AG339" s="341"/>
      <c r="AH339" s="241"/>
      <c r="AI339" s="262"/>
      <c r="AJ339" s="262"/>
      <c r="AK339" s="262"/>
      <c r="AL339" s="263">
        <f t="shared" ref="AL339" ca="1" si="361">SUM(AL334:AL337)</f>
        <v>1.7689566145487931E-2</v>
      </c>
      <c r="AM339" s="264"/>
      <c r="AN339" s="255"/>
      <c r="AO339" s="240"/>
      <c r="AP339" s="260"/>
      <c r="AU339" s="403">
        <f t="shared" ref="AU339" ca="1" si="362">OFFSET($A$1,$BA339-1,$AY339-1)</f>
        <v>0.3948920863309352</v>
      </c>
      <c r="AV339" s="404"/>
      <c r="AW339" s="405">
        <f t="shared" ref="AW339" ca="1" si="363">OFFSET($A$1,$BB339-1,$AY339-1)</f>
        <v>0.1330021283494664</v>
      </c>
      <c r="AX339" s="404"/>
      <c r="AY339" s="299">
        <f t="shared" si="314"/>
        <v>42</v>
      </c>
      <c r="BA339" s="299">
        <f t="shared" ref="BA339:BB339" si="364">BA329+1</f>
        <v>90</v>
      </c>
      <c r="BB339" s="299">
        <f t="shared" si="364"/>
        <v>198</v>
      </c>
    </row>
    <row r="340" spans="1:54" s="256" customFormat="1" ht="6" customHeight="1">
      <c r="A340" s="240"/>
      <c r="B340" s="341"/>
      <c r="C340" s="377"/>
      <c r="D340" s="378"/>
      <c r="E340" s="378"/>
      <c r="F340" s="378"/>
      <c r="G340" s="378"/>
      <c r="H340" s="378"/>
      <c r="I340" s="378"/>
      <c r="J340" s="378"/>
      <c r="K340" s="378"/>
      <c r="L340" s="379"/>
      <c r="M340" s="380"/>
      <c r="N340" s="379"/>
      <c r="O340" s="380"/>
      <c r="P340" s="379"/>
      <c r="Q340" s="381"/>
      <c r="R340" s="382"/>
      <c r="S340" s="382"/>
      <c r="T340" s="383"/>
      <c r="U340" s="382"/>
      <c r="V340" s="378"/>
      <c r="W340" s="382"/>
      <c r="X340" s="378"/>
      <c r="Y340" s="378"/>
      <c r="Z340" s="382"/>
      <c r="AA340" s="378"/>
      <c r="AB340" s="378"/>
      <c r="AC340" s="382"/>
      <c r="AD340" s="378"/>
      <c r="AE340" s="382"/>
      <c r="AF340" s="384"/>
      <c r="AG340" s="339"/>
      <c r="AH340" s="241"/>
      <c r="AI340" s="240"/>
      <c r="AJ340" s="240"/>
      <c r="AK340" s="240"/>
      <c r="AL340" s="240"/>
      <c r="AM340" s="240"/>
      <c r="AN340" s="255"/>
      <c r="AO340" s="240"/>
      <c r="AP340" s="260"/>
    </row>
    <row r="341" spans="1:54" s="256" customFormat="1" ht="6" customHeight="1">
      <c r="A341" s="240"/>
      <c r="B341" s="341"/>
      <c r="C341" s="400"/>
      <c r="D341" s="400"/>
      <c r="E341" s="400"/>
      <c r="F341" s="400"/>
      <c r="G341" s="400"/>
      <c r="H341" s="400"/>
      <c r="I341" s="400"/>
      <c r="J341" s="400"/>
      <c r="K341" s="400"/>
      <c r="L341" s="401"/>
      <c r="M341" s="400"/>
      <c r="N341" s="401"/>
      <c r="O341" s="400"/>
      <c r="P341" s="401"/>
      <c r="Q341" s="402"/>
      <c r="R341" s="401"/>
      <c r="S341" s="401"/>
      <c r="T341" s="402"/>
      <c r="U341" s="401"/>
      <c r="V341" s="400"/>
      <c r="W341" s="401"/>
      <c r="X341" s="400"/>
      <c r="Y341" s="400"/>
      <c r="Z341" s="401"/>
      <c r="AA341" s="400"/>
      <c r="AB341" s="400"/>
      <c r="AC341" s="401"/>
      <c r="AD341" s="400"/>
      <c r="AE341" s="401"/>
      <c r="AF341" s="402"/>
      <c r="AG341" s="339"/>
      <c r="AH341" s="241"/>
      <c r="AI341" s="240"/>
      <c r="AJ341" s="240"/>
      <c r="AK341" s="240"/>
      <c r="AL341" s="240"/>
      <c r="AM341" s="240"/>
      <c r="AN341" s="255"/>
      <c r="AO341" s="240"/>
      <c r="AP341" s="260"/>
    </row>
    <row r="342" spans="1:54" s="256" customFormat="1" ht="11.4" customHeight="1">
      <c r="A342" s="240"/>
      <c r="B342" s="341"/>
      <c r="C342" s="394" t="str">
        <f t="shared" ref="C342" ca="1" si="365">OFFSET($A$1,$AZ343-1,$AY343-1)</f>
        <v>C.A.012</v>
      </c>
      <c r="D342" s="365"/>
      <c r="E342" s="365"/>
      <c r="F342" s="365"/>
      <c r="G342" s="365"/>
      <c r="H342" s="365"/>
      <c r="I342" s="365"/>
      <c r="J342" s="365"/>
      <c r="K342" s="366"/>
      <c r="L342" s="395" t="str">
        <f t="shared" ref="L342" ca="1" si="366">OFFSET($A$1,$BA343-1,$AY343-1)</f>
        <v>Building from 1960, insul. upgr. in 2017 | no information about d and f [values used: average of refurbished buildings*]</v>
      </c>
      <c r="M342" s="396"/>
      <c r="N342" s="396"/>
      <c r="O342" s="396"/>
      <c r="P342" s="396"/>
      <c r="Q342" s="396"/>
      <c r="R342" s="397"/>
      <c r="S342" s="397"/>
      <c r="T342" s="398"/>
      <c r="U342" s="396"/>
      <c r="V342" s="396"/>
      <c r="W342" s="396"/>
      <c r="X342" s="396"/>
      <c r="Y342" s="396"/>
      <c r="Z342" s="396"/>
      <c r="AA342" s="396"/>
      <c r="AB342" s="396"/>
      <c r="AC342" s="396"/>
      <c r="AD342" s="396"/>
      <c r="AE342" s="396"/>
      <c r="AF342" s="399"/>
      <c r="AG342" s="339"/>
      <c r="AH342" s="241"/>
      <c r="AI342" s="240"/>
      <c r="AJ342" s="240"/>
      <c r="AK342" s="240"/>
      <c r="AL342" s="240"/>
      <c r="AM342" s="240"/>
      <c r="AN342" s="255"/>
      <c r="AO342" s="240"/>
      <c r="AP342" s="260"/>
    </row>
    <row r="343" spans="1:54" s="256" customFormat="1" ht="11.4" customHeight="1">
      <c r="A343" s="240"/>
      <c r="B343" s="341"/>
      <c r="C343" s="333"/>
      <c r="D343" s="334"/>
      <c r="E343" s="334"/>
      <c r="F343" s="334"/>
      <c r="G343" s="334"/>
      <c r="H343" s="334"/>
      <c r="I343" s="334"/>
      <c r="J343" s="334"/>
      <c r="K343" s="335"/>
      <c r="L343" s="343"/>
      <c r="M343" s="348"/>
      <c r="N343" s="343"/>
      <c r="O343" s="348"/>
      <c r="P343" s="343"/>
      <c r="Q343" s="348"/>
      <c r="R343" s="343"/>
      <c r="S343" s="343"/>
      <c r="T343" s="351"/>
      <c r="U343" s="343"/>
      <c r="V343" s="348"/>
      <c r="W343" s="343"/>
      <c r="X343" s="348"/>
      <c r="Y343" s="348"/>
      <c r="Z343" s="343"/>
      <c r="AA343" s="348"/>
      <c r="AB343" s="352" t="s">
        <v>46</v>
      </c>
      <c r="AC343" s="343"/>
      <c r="AD343" s="353"/>
      <c r="AE343" s="343"/>
      <c r="AF343" s="344"/>
      <c r="AG343" s="339"/>
      <c r="AH343" s="241"/>
      <c r="AI343" s="240"/>
      <c r="AJ343" s="240"/>
      <c r="AK343" s="240"/>
      <c r="AL343" s="240"/>
      <c r="AM343" s="240"/>
      <c r="AN343" s="255"/>
      <c r="AO343" s="240"/>
      <c r="AP343" s="260"/>
      <c r="AY343" s="299">
        <f t="shared" ref="AY343" si="367">AY333</f>
        <v>42</v>
      </c>
      <c r="AZ343" s="300">
        <f t="shared" ref="AZ343:BA343" si="368">AZ333+1</f>
        <v>19</v>
      </c>
      <c r="BA343" s="300">
        <f t="shared" si="368"/>
        <v>31</v>
      </c>
    </row>
    <row r="344" spans="1:54" s="256" customFormat="1" ht="11.4" customHeight="1">
      <c r="A344" s="240"/>
      <c r="B344" s="341"/>
      <c r="C344" s="346"/>
      <c r="D344" s="348" t="s">
        <v>2414</v>
      </c>
      <c r="E344" s="348"/>
      <c r="F344" s="348"/>
      <c r="G344" s="348"/>
      <c r="H344" s="348"/>
      <c r="I344" s="348"/>
      <c r="J344" s="348"/>
      <c r="K344" s="348"/>
      <c r="L344" s="302" t="s">
        <v>2420</v>
      </c>
      <c r="M344" s="261"/>
      <c r="N344" s="368" t="s">
        <v>46</v>
      </c>
      <c r="O344" s="369"/>
      <c r="P344" s="309">
        <f t="shared" ref="P344" ca="1" si="369">OFFSET($A$1,$AZ344-1,$AY344-1)</f>
        <v>1.1000000000000001</v>
      </c>
      <c r="Q344" s="310"/>
      <c r="R344" s="311" t="str">
        <f t="shared" ref="R344" ca="1" si="370">OFFSET($A$1,$BA344-1,$AY344-1)</f>
        <v>D</v>
      </c>
      <c r="S344" s="312">
        <f t="shared" ref="S344" ca="1" si="371">OFFSET($A$1,$BB344-1,$AY344-1)</f>
        <v>0.33</v>
      </c>
      <c r="T344" s="313"/>
      <c r="U344" s="314">
        <f t="shared" ref="U344:U350" ca="1" si="372">IFERROR(S344/P344,0)</f>
        <v>0.3</v>
      </c>
      <c r="V344" s="315"/>
      <c r="W344" s="316">
        <f t="shared" ref="W344" ca="1" si="373">IF(P344&gt;0,IFERROR((1+P345*(1/(1+P346/P347*P344)^2-1)),1),"")</f>
        <v>0.12756250000000002</v>
      </c>
      <c r="X344" s="317"/>
      <c r="Y344" s="318"/>
      <c r="Z344" s="319">
        <f t="shared" ref="Z344:Z350" ca="1" si="374">IFERROR(ABS(W344*S344),"")</f>
        <v>4.2095625000000012E-2</v>
      </c>
      <c r="AA344" s="320"/>
      <c r="AB344" s="321"/>
      <c r="AC344" s="322">
        <f t="shared" ref="AC344" ca="1" si="375">IFERROR(Z344/P349,"")</f>
        <v>0.14861650485436897</v>
      </c>
      <c r="AD344" s="323"/>
      <c r="AE344" s="385">
        <f t="shared" ref="AE344" ca="1" si="376">IFERROR(AL344/AL349,"")</f>
        <v>0.13532505530608893</v>
      </c>
      <c r="AF344" s="386"/>
      <c r="AG344" s="339"/>
      <c r="AH344" s="241"/>
      <c r="AI344" s="262"/>
      <c r="AJ344" s="262"/>
      <c r="AK344" s="262"/>
      <c r="AL344" s="263">
        <f t="shared" ref="AL344:AL350" ca="1" si="377">IFERROR(Z344^2,0)</f>
        <v>1.7720416441406261E-3</v>
      </c>
      <c r="AM344" s="264"/>
      <c r="AN344" s="255"/>
      <c r="AO344" s="240"/>
      <c r="AP344" s="262"/>
      <c r="AY344" s="299">
        <f t="shared" ref="AY344:AY350" si="378">AY343</f>
        <v>42</v>
      </c>
      <c r="AZ344" s="299">
        <f t="shared" ref="AZ344:BB344" si="379">AZ334+1</f>
        <v>43</v>
      </c>
      <c r="BA344" s="299">
        <f t="shared" si="379"/>
        <v>103</v>
      </c>
      <c r="BB344" s="299">
        <f t="shared" si="379"/>
        <v>151</v>
      </c>
    </row>
    <row r="345" spans="1:54" s="256" customFormat="1" ht="11.4" customHeight="1">
      <c r="A345" s="240"/>
      <c r="B345" s="341"/>
      <c r="C345" s="346"/>
      <c r="D345" s="348" t="s">
        <v>2415</v>
      </c>
      <c r="E345" s="348"/>
      <c r="F345" s="348"/>
      <c r="G345" s="348"/>
      <c r="H345" s="348"/>
      <c r="I345" s="348"/>
      <c r="J345" s="348"/>
      <c r="K345" s="348"/>
      <c r="L345" s="302" t="s">
        <v>2421</v>
      </c>
      <c r="M345" s="261"/>
      <c r="N345" s="368" t="s">
        <v>1266</v>
      </c>
      <c r="O345" s="369"/>
      <c r="P345" s="309">
        <f t="shared" ca="1" si="296"/>
        <v>0.9</v>
      </c>
      <c r="Q345" s="310"/>
      <c r="R345" s="311" t="str">
        <f t="shared" ca="1" si="297"/>
        <v>D</v>
      </c>
      <c r="S345" s="312">
        <f t="shared" ca="1" si="298"/>
        <v>9.9999999999999978E-2</v>
      </c>
      <c r="T345" s="313"/>
      <c r="U345" s="314">
        <f t="shared" ca="1" si="372"/>
        <v>0.11111111111111108</v>
      </c>
      <c r="V345" s="315"/>
      <c r="W345" s="316">
        <f t="shared" ref="W345" ca="1" si="380">IFERROR((-P344+1/(1/P344+P346/P347)),"")</f>
        <v>-0.90750000000000008</v>
      </c>
      <c r="X345" s="317"/>
      <c r="Y345" s="318"/>
      <c r="Z345" s="319">
        <f t="shared" ca="1" si="374"/>
        <v>9.0749999999999983E-2</v>
      </c>
      <c r="AA345" s="320"/>
      <c r="AB345" s="321"/>
      <c r="AC345" s="322">
        <f t="shared" ref="AC345" ca="1" si="381">IFERROR(Z345/P349,"")</f>
        <v>0.32038834951456302</v>
      </c>
      <c r="AD345" s="323"/>
      <c r="AE345" s="385">
        <f t="shared" ref="AE345" ca="1" si="382">IFERROR(AL345/AL349,"")</f>
        <v>0.6289231150263016</v>
      </c>
      <c r="AF345" s="386"/>
      <c r="AG345" s="339"/>
      <c r="AH345" s="241"/>
      <c r="AI345" s="262"/>
      <c r="AJ345" s="262"/>
      <c r="AK345" s="262"/>
      <c r="AL345" s="263">
        <f t="shared" ca="1" si="377"/>
        <v>8.2355624999999964E-3</v>
      </c>
      <c r="AM345" s="264"/>
      <c r="AN345" s="255"/>
      <c r="AO345" s="240"/>
      <c r="AP345" s="262"/>
      <c r="AY345" s="299">
        <f t="shared" si="378"/>
        <v>42</v>
      </c>
      <c r="AZ345" s="299">
        <f t="shared" ref="AZ345:BB345" si="383">AZ335+1</f>
        <v>55</v>
      </c>
      <c r="BA345" s="299">
        <f t="shared" si="383"/>
        <v>115</v>
      </c>
      <c r="BB345" s="299">
        <f t="shared" si="383"/>
        <v>163</v>
      </c>
    </row>
    <row r="346" spans="1:54" s="256" customFormat="1" ht="11.4" customHeight="1">
      <c r="A346" s="240"/>
      <c r="B346" s="341"/>
      <c r="C346" s="346"/>
      <c r="D346" s="348" t="s">
        <v>175</v>
      </c>
      <c r="E346" s="348"/>
      <c r="F346" s="348"/>
      <c r="G346" s="348"/>
      <c r="H346" s="348"/>
      <c r="I346" s="348"/>
      <c r="J346" s="348"/>
      <c r="K346" s="348"/>
      <c r="L346" s="302" t="s">
        <v>2422</v>
      </c>
      <c r="M346" s="261"/>
      <c r="N346" s="368" t="s">
        <v>2416</v>
      </c>
      <c r="O346" s="369"/>
      <c r="P346" s="309">
        <f t="shared" ca="1" si="296"/>
        <v>0.15</v>
      </c>
      <c r="Q346" s="324"/>
      <c r="R346" s="311" t="str">
        <f t="shared" ca="1" si="297"/>
        <v>D</v>
      </c>
      <c r="S346" s="312">
        <f t="shared" ca="1" si="298"/>
        <v>0.05</v>
      </c>
      <c r="T346" s="313"/>
      <c r="U346" s="314">
        <f t="shared" ca="1" si="372"/>
        <v>0.33333333333333337</v>
      </c>
      <c r="V346" s="315"/>
      <c r="W346" s="316">
        <f t="shared" ref="W346" ca="1" si="384">IFERROR(-P345*P347/(P347/P344+P346)^2,"")</f>
        <v>-0.95287500000000014</v>
      </c>
      <c r="X346" s="317"/>
      <c r="Y346" s="318"/>
      <c r="Z346" s="319">
        <f t="shared" ca="1" si="374"/>
        <v>4.7643750000000012E-2</v>
      </c>
      <c r="AA346" s="320"/>
      <c r="AB346" s="321"/>
      <c r="AC346" s="322">
        <f t="shared" ref="AC346" ca="1" si="385">IFERROR(Z346/P349,"")</f>
        <v>0.16820388349514567</v>
      </c>
      <c r="AD346" s="323"/>
      <c r="AE346" s="385">
        <f t="shared" ref="AE346" ca="1" si="386">IFERROR(AL346/AL349,"")</f>
        <v>0.17334693357912456</v>
      </c>
      <c r="AF346" s="387"/>
      <c r="AG346" s="339"/>
      <c r="AH346" s="241"/>
      <c r="AI346" s="262"/>
      <c r="AJ346" s="262"/>
      <c r="AK346" s="262"/>
      <c r="AL346" s="263">
        <f t="shared" ca="1" si="377"/>
        <v>2.2699269140625013E-3</v>
      </c>
      <c r="AM346" s="264"/>
      <c r="AN346" s="255"/>
      <c r="AO346" s="240"/>
      <c r="AP346" s="262"/>
      <c r="AY346" s="299">
        <f t="shared" si="314"/>
        <v>42</v>
      </c>
      <c r="AZ346" s="299">
        <f t="shared" ref="AZ346:BB346" si="387">AZ336+1</f>
        <v>67</v>
      </c>
      <c r="BA346" s="299">
        <f t="shared" si="387"/>
        <v>127</v>
      </c>
      <c r="BB346" s="299">
        <f t="shared" si="387"/>
        <v>175</v>
      </c>
    </row>
    <row r="347" spans="1:54" s="256" customFormat="1" ht="11.4" customHeight="1">
      <c r="A347" s="240"/>
      <c r="B347" s="341"/>
      <c r="C347" s="346"/>
      <c r="D347" s="348" t="s">
        <v>2417</v>
      </c>
      <c r="E347" s="348"/>
      <c r="F347" s="348"/>
      <c r="G347" s="348"/>
      <c r="H347" s="348"/>
      <c r="I347" s="348"/>
      <c r="J347" s="348"/>
      <c r="K347" s="348"/>
      <c r="L347" s="302" t="s">
        <v>2423</v>
      </c>
      <c r="M347" s="261"/>
      <c r="N347" s="368" t="s">
        <v>45</v>
      </c>
      <c r="O347" s="369"/>
      <c r="P347" s="325">
        <f t="shared" ca="1" si="296"/>
        <v>3.5000000000000003E-2</v>
      </c>
      <c r="Q347" s="324"/>
      <c r="R347" s="311" t="str">
        <f t="shared" ca="1" si="297"/>
        <v>D</v>
      </c>
      <c r="S347" s="326">
        <f t="shared" ca="1" si="298"/>
        <v>7.000000000000001E-3</v>
      </c>
      <c r="T347" s="327"/>
      <c r="U347" s="314">
        <f t="shared" ca="1" si="372"/>
        <v>0.2</v>
      </c>
      <c r="V347" s="315"/>
      <c r="W347" s="316">
        <f t="shared" ref="W347" ca="1" si="388">IFERROR(P345*P346/(P347/P344+P346)^2,"")</f>
        <v>4.0837500000000002</v>
      </c>
      <c r="X347" s="317"/>
      <c r="Y347" s="318"/>
      <c r="Z347" s="319">
        <f t="shared" ca="1" si="374"/>
        <v>2.8586250000000004E-2</v>
      </c>
      <c r="AA347" s="320"/>
      <c r="AB347" s="321"/>
      <c r="AC347" s="322">
        <f t="shared" ref="AC347" ca="1" si="389">IFERROR(Z347/P349,"")</f>
        <v>0.1009223300970874</v>
      </c>
      <c r="AD347" s="323"/>
      <c r="AE347" s="385">
        <f t="shared" ref="AE347" ca="1" si="390">IFERROR(AL347/AL349,"")</f>
        <v>6.2404896088484825E-2</v>
      </c>
      <c r="AF347" s="387"/>
      <c r="AG347" s="339"/>
      <c r="AH347" s="241"/>
      <c r="AI347" s="262"/>
      <c r="AJ347" s="262"/>
      <c r="AK347" s="262"/>
      <c r="AL347" s="263">
        <f t="shared" ca="1" si="377"/>
        <v>8.1717368906250023E-4</v>
      </c>
      <c r="AM347" s="264"/>
      <c r="AN347" s="255"/>
      <c r="AO347" s="240"/>
      <c r="AP347" s="262"/>
      <c r="AY347" s="299">
        <f t="shared" si="314"/>
        <v>42</v>
      </c>
      <c r="AZ347" s="299">
        <f t="shared" ref="AZ347:BB347" si="391">AZ337+1</f>
        <v>79</v>
      </c>
      <c r="BA347" s="299">
        <f t="shared" si="391"/>
        <v>139</v>
      </c>
      <c r="BB347" s="299">
        <f t="shared" si="391"/>
        <v>187</v>
      </c>
    </row>
    <row r="348" spans="1:54" s="256" customFormat="1" ht="11.4" customHeight="1">
      <c r="A348" s="240"/>
      <c r="B348" s="341"/>
      <c r="C348" s="347"/>
      <c r="D348" s="348"/>
      <c r="E348" s="370" t="s">
        <v>2424</v>
      </c>
      <c r="F348" s="371"/>
      <c r="G348" s="371"/>
      <c r="H348" s="349"/>
      <c r="I348" s="372"/>
      <c r="J348" s="371"/>
      <c r="K348" s="371"/>
      <c r="L348" s="373"/>
      <c r="M348" s="374"/>
      <c r="N348" s="375" t="s">
        <v>46</v>
      </c>
      <c r="O348" s="376"/>
      <c r="P348" s="392">
        <f t="shared" ref="P348" ca="1" si="392">IFERROR(1/(1/P344+P346/P347),"")</f>
        <v>0.1925</v>
      </c>
      <c r="Q348" s="393"/>
      <c r="R348" s="355"/>
      <c r="S348" s="355"/>
      <c r="T348" s="356"/>
      <c r="U348" s="355"/>
      <c r="V348" s="357"/>
      <c r="W348" s="355"/>
      <c r="X348" s="357"/>
      <c r="Y348" s="357"/>
      <c r="Z348" s="354" t="s">
        <v>2411</v>
      </c>
      <c r="AA348" s="358"/>
      <c r="AB348" s="358"/>
      <c r="AC348" s="359"/>
      <c r="AD348" s="358"/>
      <c r="AE348" s="388"/>
      <c r="AF348" s="389"/>
      <c r="AG348" s="339"/>
      <c r="AH348" s="241"/>
      <c r="AI348" s="240"/>
      <c r="AJ348" s="240"/>
      <c r="AK348" s="240"/>
      <c r="AL348" s="265"/>
      <c r="AM348" s="265"/>
      <c r="AN348" s="255"/>
      <c r="AO348" s="240"/>
      <c r="AU348" s="406" t="s">
        <v>2419</v>
      </c>
      <c r="AW348" s="301"/>
    </row>
    <row r="349" spans="1:54" s="256" customFormat="1" ht="11.4" customHeight="1">
      <c r="A349" s="240"/>
      <c r="B349" s="341"/>
      <c r="C349" s="367" t="s">
        <v>2425</v>
      </c>
      <c r="D349" s="348"/>
      <c r="E349" s="348"/>
      <c r="F349" s="348"/>
      <c r="G349" s="348"/>
      <c r="H349" s="349"/>
      <c r="I349" s="350"/>
      <c r="J349" s="348"/>
      <c r="K349" s="348"/>
      <c r="L349" s="360"/>
      <c r="M349" s="361"/>
      <c r="N349" s="368" t="s">
        <v>46</v>
      </c>
      <c r="O349" s="369"/>
      <c r="P349" s="328">
        <f t="shared" ref="P349" ca="1" si="393">IFERROR((1-P345)*P344+P345*1/(1/P344+P346/P347),P344)</f>
        <v>0.28325</v>
      </c>
      <c r="Q349" s="329"/>
      <c r="R349" s="362"/>
      <c r="S349" s="362"/>
      <c r="T349" s="363"/>
      <c r="U349" s="362"/>
      <c r="V349" s="364"/>
      <c r="W349" s="362"/>
      <c r="X349" s="364"/>
      <c r="Y349" s="364"/>
      <c r="Z349" s="330">
        <f t="shared" ref="Z349" ca="1" si="394">IF(P344&gt;0,IFERROR(SQRT(SUMPRODUCT(Z344:Z347,Z344:Z347)),""),"")</f>
        <v>0.11443209666551436</v>
      </c>
      <c r="AA349" s="331"/>
      <c r="AB349" s="332"/>
      <c r="AC349" s="322">
        <f t="shared" ref="AC349:AC350" ca="1" si="395">IFERROR(Z349/P349,"")</f>
        <v>0.4039968108226456</v>
      </c>
      <c r="AD349" s="323"/>
      <c r="AE349" s="390">
        <f t="shared" ref="AE349:AE350" ca="1" si="396">IFERROR(AL349/AL349,"")</f>
        <v>1</v>
      </c>
      <c r="AF349" s="391"/>
      <c r="AG349" s="341"/>
      <c r="AH349" s="241"/>
      <c r="AI349" s="262"/>
      <c r="AJ349" s="262"/>
      <c r="AK349" s="262"/>
      <c r="AL349" s="263">
        <f t="shared" ref="AL349" ca="1" si="397">SUM(AL344:AL347)</f>
        <v>1.3094704747265625E-2</v>
      </c>
      <c r="AM349" s="264"/>
      <c r="AN349" s="255"/>
      <c r="AO349" s="240"/>
      <c r="AP349" s="260"/>
      <c r="AU349" s="403">
        <f t="shared" ref="AU349" ca="1" si="398">OFFSET($A$1,$BA349-1,$AY349-1)</f>
        <v>0.28325</v>
      </c>
      <c r="AV349" s="404"/>
      <c r="AW349" s="405">
        <f t="shared" ref="AW349" ca="1" si="399">OFFSET($A$1,$BB349-1,$AY349-1)</f>
        <v>0.11443209666551435</v>
      </c>
      <c r="AX349" s="404"/>
      <c r="AY349" s="299">
        <f t="shared" si="314"/>
        <v>42</v>
      </c>
      <c r="BA349" s="299">
        <f t="shared" ref="BA349:BB349" si="400">BA339+1</f>
        <v>91</v>
      </c>
      <c r="BB349" s="299">
        <f t="shared" si="400"/>
        <v>199</v>
      </c>
    </row>
    <row r="350" spans="1:54" s="256" customFormat="1" ht="6" customHeight="1">
      <c r="A350" s="240"/>
      <c r="B350" s="341"/>
      <c r="C350" s="377"/>
      <c r="D350" s="378"/>
      <c r="E350" s="378"/>
      <c r="F350" s="378"/>
      <c r="G350" s="378"/>
      <c r="H350" s="378"/>
      <c r="I350" s="378"/>
      <c r="J350" s="378"/>
      <c r="K350" s="378"/>
      <c r="L350" s="379"/>
      <c r="M350" s="380"/>
      <c r="N350" s="379"/>
      <c r="O350" s="380"/>
      <c r="P350" s="379"/>
      <c r="Q350" s="381"/>
      <c r="R350" s="382"/>
      <c r="S350" s="382"/>
      <c r="T350" s="383"/>
      <c r="U350" s="382"/>
      <c r="V350" s="378"/>
      <c r="W350" s="382"/>
      <c r="X350" s="378"/>
      <c r="Y350" s="378"/>
      <c r="Z350" s="382"/>
      <c r="AA350" s="378"/>
      <c r="AB350" s="378"/>
      <c r="AC350" s="382"/>
      <c r="AD350" s="378"/>
      <c r="AE350" s="382"/>
      <c r="AF350" s="384"/>
      <c r="AG350" s="339"/>
      <c r="AH350" s="241"/>
      <c r="AI350" s="240"/>
      <c r="AJ350" s="240"/>
      <c r="AK350" s="240"/>
      <c r="AL350" s="240"/>
      <c r="AM350" s="240"/>
      <c r="AN350" s="255"/>
      <c r="AO350" s="240"/>
      <c r="AP350" s="260"/>
    </row>
    <row r="351" spans="1:54" s="256" customFormat="1" ht="12" customHeight="1">
      <c r="A351" s="240"/>
      <c r="B351" s="407"/>
      <c r="C351" s="416" t="s">
        <v>2431</v>
      </c>
      <c r="D351" s="416"/>
      <c r="E351" s="416"/>
      <c r="F351" s="413">
        <f>Date_WorkbookVersion</f>
        <v>44330</v>
      </c>
      <c r="G351" s="413"/>
      <c r="H351" s="413"/>
      <c r="I351" s="414"/>
      <c r="J351" s="414"/>
      <c r="K351" s="414"/>
      <c r="L351" s="414"/>
      <c r="M351" s="414"/>
      <c r="N351" s="414"/>
      <c r="O351" s="414"/>
      <c r="P351" s="414"/>
      <c r="Q351" s="414"/>
      <c r="R351" s="414"/>
      <c r="S351" s="414"/>
      <c r="T351" s="414"/>
      <c r="U351" s="414"/>
      <c r="V351" s="414"/>
      <c r="W351" s="414"/>
      <c r="X351" s="414"/>
      <c r="Y351" s="414"/>
      <c r="Z351" s="414"/>
      <c r="AA351" s="414"/>
      <c r="AB351" s="417" t="s">
        <v>2173</v>
      </c>
      <c r="AC351" s="417"/>
      <c r="AD351" s="415">
        <f ca="1">DateTime_Current</f>
        <v>44330.603352893515</v>
      </c>
      <c r="AE351" s="415"/>
      <c r="AF351" s="415"/>
      <c r="AG351" s="408"/>
      <c r="AH351" s="241"/>
      <c r="AI351" s="240"/>
      <c r="AJ351" s="240"/>
      <c r="AK351" s="240"/>
      <c r="AL351" s="240"/>
      <c r="AM351" s="240"/>
      <c r="AN351" s="255"/>
      <c r="AO351" s="240"/>
      <c r="AP351" s="260"/>
    </row>
    <row r="352" spans="1:54" s="256" customFormat="1" ht="9" customHeight="1">
      <c r="A352" s="240"/>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0"/>
      <c r="AI352" s="240"/>
      <c r="AJ352" s="240"/>
      <c r="AK352" s="240"/>
      <c r="AL352" s="240"/>
      <c r="AM352" s="240"/>
      <c r="AN352" s="255"/>
      <c r="AO352" s="255"/>
      <c r="AP352" s="255"/>
    </row>
    <row r="353" spans="1:61" s="256" customFormat="1" ht="15" customHeight="1">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55"/>
      <c r="AO353" s="255"/>
      <c r="AP353" s="255"/>
    </row>
    <row r="354" spans="1:61">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c r="AA354" s="266"/>
      <c r="AB354" s="266"/>
      <c r="AC354" s="266"/>
      <c r="AD354" s="266"/>
      <c r="AE354" s="266"/>
      <c r="AF354" s="266"/>
      <c r="AG354" s="266"/>
      <c r="AH354" s="266"/>
      <c r="AQ354" s="256"/>
      <c r="AR354" s="256"/>
      <c r="AS354" s="256"/>
      <c r="AT354" s="256"/>
      <c r="AU354" s="256"/>
      <c r="AV354" s="256"/>
      <c r="AW354" s="256"/>
      <c r="AX354" s="256"/>
      <c r="AY354" s="256"/>
      <c r="AZ354" s="256"/>
      <c r="BA354" s="256"/>
      <c r="BB354" s="256"/>
      <c r="BC354" s="256"/>
      <c r="BD354" s="256"/>
      <c r="BE354" s="256"/>
      <c r="BF354" s="256"/>
      <c r="BG354" s="256"/>
      <c r="BH354" s="256"/>
      <c r="BI354" s="256"/>
    </row>
    <row r="355" spans="1:61">
      <c r="A355" s="241"/>
      <c r="B355" s="241"/>
      <c r="C355" s="241"/>
      <c r="D355" s="241"/>
      <c r="E355" s="241"/>
      <c r="F355" s="241"/>
      <c r="G355" s="241"/>
      <c r="H355" s="241"/>
      <c r="I355" s="241"/>
      <c r="J355" s="241"/>
      <c r="K355" s="241"/>
      <c r="L355" s="241"/>
      <c r="M355" s="241"/>
      <c r="N355" s="266"/>
      <c r="O355" s="266"/>
      <c r="P355" s="266"/>
      <c r="Q355" s="266"/>
      <c r="R355" s="266"/>
      <c r="S355" s="266"/>
      <c r="T355" s="266"/>
      <c r="U355" s="266"/>
      <c r="V355" s="266"/>
      <c r="W355" s="266"/>
      <c r="X355" s="266"/>
      <c r="Y355" s="266"/>
      <c r="Z355" s="266"/>
      <c r="AA355" s="266"/>
      <c r="AB355" s="266"/>
      <c r="AC355" s="266"/>
      <c r="AD355" s="266"/>
      <c r="AE355" s="266"/>
      <c r="AF355" s="266"/>
      <c r="AG355" s="266"/>
      <c r="AH355" s="266"/>
      <c r="AI355" s="266"/>
      <c r="AJ355" s="267"/>
      <c r="AK355" s="266"/>
      <c r="AL355" s="266"/>
      <c r="AM355" s="266"/>
      <c r="AN355" s="260"/>
      <c r="AO355" s="260"/>
      <c r="AP355" s="260"/>
      <c r="AQ355" s="256"/>
      <c r="AR355" s="256"/>
      <c r="AS355" s="256"/>
      <c r="AT355" s="256"/>
      <c r="AU355" s="256"/>
      <c r="AV355" s="256"/>
      <c r="AW355" s="256"/>
      <c r="AX355" s="256"/>
      <c r="AY355" s="256"/>
      <c r="AZ355" s="256"/>
      <c r="BA355" s="256"/>
      <c r="BB355" s="256"/>
      <c r="BC355" s="256"/>
      <c r="BD355" s="256"/>
      <c r="BE355" s="256"/>
      <c r="BF355" s="256"/>
      <c r="BG355" s="256"/>
      <c r="BH355" s="256"/>
      <c r="BI355" s="256"/>
    </row>
    <row r="356" spans="1:61">
      <c r="A356" s="241"/>
      <c r="B356" s="241"/>
      <c r="C356" s="241"/>
      <c r="D356" s="241"/>
      <c r="E356" s="241"/>
      <c r="F356" s="241"/>
      <c r="G356" s="241"/>
      <c r="H356" s="241"/>
      <c r="I356" s="241"/>
      <c r="J356" s="241"/>
      <c r="K356" s="241"/>
      <c r="L356" s="241"/>
      <c r="M356" s="241"/>
      <c r="N356" s="266"/>
      <c r="O356" s="266"/>
      <c r="P356" s="266"/>
      <c r="Q356" s="266"/>
      <c r="R356" s="266"/>
      <c r="S356" s="266"/>
      <c r="T356" s="266"/>
      <c r="U356" s="266"/>
      <c r="V356" s="266"/>
      <c r="W356" s="266"/>
      <c r="X356" s="266"/>
      <c r="Y356" s="266"/>
      <c r="Z356" s="266"/>
      <c r="AA356" s="266"/>
      <c r="AB356" s="266"/>
      <c r="AC356" s="266"/>
      <c r="AD356" s="266"/>
      <c r="AE356" s="266"/>
      <c r="AF356" s="266"/>
      <c r="AG356" s="266"/>
      <c r="AH356" s="241"/>
      <c r="AI356" s="241"/>
      <c r="AJ356" s="267"/>
      <c r="AK356" s="266"/>
      <c r="AL356" s="266"/>
      <c r="AM356" s="266"/>
      <c r="AN356" s="260"/>
      <c r="AO356" s="260"/>
      <c r="AP356" s="260"/>
      <c r="AQ356" s="256"/>
      <c r="AR356" s="256"/>
      <c r="AS356" s="256"/>
      <c r="AT356" s="256"/>
      <c r="AU356" s="256"/>
      <c r="AV356" s="256"/>
      <c r="AW356" s="256"/>
      <c r="AX356" s="256"/>
      <c r="AY356" s="256"/>
      <c r="AZ356" s="256"/>
      <c r="BA356" s="256"/>
      <c r="BB356" s="256"/>
      <c r="BC356" s="256"/>
      <c r="BD356" s="256"/>
      <c r="BE356" s="256"/>
      <c r="BF356" s="256"/>
      <c r="BG356" s="256"/>
      <c r="BH356" s="256"/>
      <c r="BI356" s="256"/>
    </row>
    <row r="357" spans="1:61">
      <c r="AQ357" s="256"/>
      <c r="AR357" s="256"/>
      <c r="AS357" s="256"/>
      <c r="AT357" s="256"/>
      <c r="AU357" s="256"/>
      <c r="AV357" s="256"/>
      <c r="AW357" s="256"/>
      <c r="AX357" s="256"/>
      <c r="AY357" s="256"/>
      <c r="AZ357" s="256"/>
      <c r="BA357" s="256"/>
      <c r="BB357" s="256"/>
      <c r="BC357" s="256"/>
      <c r="BD357" s="256"/>
      <c r="BE357" s="256"/>
      <c r="BF357" s="256"/>
      <c r="BG357" s="256"/>
      <c r="BH357" s="256"/>
      <c r="BI357" s="256"/>
    </row>
    <row r="358" spans="1:61">
      <c r="AQ358" s="256"/>
      <c r="AR358" s="256"/>
      <c r="AS358" s="256"/>
      <c r="AT358" s="256"/>
      <c r="AU358" s="256"/>
      <c r="AV358" s="256"/>
      <c r="AW358" s="256"/>
      <c r="AX358" s="256"/>
      <c r="AY358" s="256"/>
      <c r="AZ358" s="256"/>
      <c r="BA358" s="256"/>
      <c r="BB358" s="256"/>
      <c r="BC358" s="256"/>
      <c r="BD358" s="256"/>
      <c r="BE358" s="256"/>
      <c r="BF358" s="256"/>
      <c r="BG358" s="256"/>
      <c r="BH358" s="256"/>
      <c r="BI358" s="256"/>
    </row>
    <row r="359" spans="1:61">
      <c r="AQ359" s="256"/>
      <c r="AR359" s="256"/>
      <c r="AS359" s="256"/>
      <c r="AT359" s="256"/>
      <c r="AU359" s="256"/>
      <c r="AV359" s="256"/>
      <c r="AW359" s="256"/>
      <c r="AX359" s="256"/>
      <c r="AY359" s="256"/>
      <c r="AZ359" s="256"/>
      <c r="BA359" s="256"/>
      <c r="BB359" s="256"/>
      <c r="BC359" s="256"/>
      <c r="BD359" s="256"/>
      <c r="BE359" s="256"/>
      <c r="BF359" s="256"/>
      <c r="BG359" s="256"/>
      <c r="BH359" s="256"/>
      <c r="BI359" s="256"/>
    </row>
  </sheetData>
  <mergeCells count="239">
    <mergeCell ref="AB351:AC351"/>
    <mergeCell ref="AD351:AF351"/>
    <mergeCell ref="P338:Q338"/>
    <mergeCell ref="C342:K343"/>
    <mergeCell ref="P348:Q348"/>
    <mergeCell ref="AP80:AT80"/>
    <mergeCell ref="AP81:AT81"/>
    <mergeCell ref="AP82:AT82"/>
    <mergeCell ref="AP83:AT83"/>
    <mergeCell ref="AP84:AT84"/>
    <mergeCell ref="AP85:AT85"/>
    <mergeCell ref="AP86:AT86"/>
    <mergeCell ref="AP87:AT87"/>
    <mergeCell ref="AP88:AT88"/>
    <mergeCell ref="AP89:AT89"/>
    <mergeCell ref="AP90:AT90"/>
    <mergeCell ref="AP91:AT91"/>
    <mergeCell ref="F281:H281"/>
    <mergeCell ref="AB281:AC281"/>
    <mergeCell ref="AD281:AF281"/>
    <mergeCell ref="C281:E281"/>
    <mergeCell ref="C292:K293"/>
    <mergeCell ref="P298:Q298"/>
    <mergeCell ref="C302:K303"/>
    <mergeCell ref="P308:Q308"/>
    <mergeCell ref="C312:K313"/>
    <mergeCell ref="P318:Q318"/>
    <mergeCell ref="C322:K323"/>
    <mergeCell ref="P328:Q328"/>
    <mergeCell ref="C332:K333"/>
    <mergeCell ref="AP24:AT24"/>
    <mergeCell ref="AP25:AT25"/>
    <mergeCell ref="AP26:AT26"/>
    <mergeCell ref="AP27:AT27"/>
    <mergeCell ref="AP28:AT28"/>
    <mergeCell ref="AP29:AT29"/>
    <mergeCell ref="AP30:AT30"/>
    <mergeCell ref="AP31:AT31"/>
    <mergeCell ref="M8:T8"/>
    <mergeCell ref="M9:T9"/>
    <mergeCell ref="M10:T10"/>
    <mergeCell ref="M11:T11"/>
    <mergeCell ref="M12:T12"/>
    <mergeCell ref="M13:T13"/>
    <mergeCell ref="M14:T14"/>
    <mergeCell ref="M15:T15"/>
    <mergeCell ref="M16:T16"/>
    <mergeCell ref="M17:T17"/>
    <mergeCell ref="M18:T18"/>
    <mergeCell ref="M19:T19"/>
    <mergeCell ref="AP15:AT15"/>
    <mergeCell ref="AP16:AT16"/>
    <mergeCell ref="AP17:AT17"/>
    <mergeCell ref="AP18:AT18"/>
    <mergeCell ref="AP19:AT19"/>
    <mergeCell ref="AP20:AT20"/>
    <mergeCell ref="AP21:AT21"/>
    <mergeCell ref="AP22:AT22"/>
    <mergeCell ref="AP23:AT23"/>
    <mergeCell ref="AP191:AT191"/>
    <mergeCell ref="AP192:AT192"/>
    <mergeCell ref="AP193:AT193"/>
    <mergeCell ref="AP194:AT194"/>
    <mergeCell ref="AP195:AT195"/>
    <mergeCell ref="AP196:AT196"/>
    <mergeCell ref="AP197:AT197"/>
    <mergeCell ref="AP198:AT198"/>
    <mergeCell ref="AP199:AT199"/>
    <mergeCell ref="AP182:AT182"/>
    <mergeCell ref="AP183:AT183"/>
    <mergeCell ref="AP184:AT184"/>
    <mergeCell ref="AP185:AT185"/>
    <mergeCell ref="AP186:AT186"/>
    <mergeCell ref="AP187:AT187"/>
    <mergeCell ref="AP188:AT188"/>
    <mergeCell ref="AP189:AT189"/>
    <mergeCell ref="AP190:AT190"/>
    <mergeCell ref="AP173:AT173"/>
    <mergeCell ref="AP174:AT174"/>
    <mergeCell ref="AP175:AT175"/>
    <mergeCell ref="AP176:AT176"/>
    <mergeCell ref="AP177:AT177"/>
    <mergeCell ref="AP178:AT178"/>
    <mergeCell ref="AP179:AT179"/>
    <mergeCell ref="AP180:AT180"/>
    <mergeCell ref="AP181:AT181"/>
    <mergeCell ref="AP164:AT164"/>
    <mergeCell ref="AP165:AT165"/>
    <mergeCell ref="AP166:AT166"/>
    <mergeCell ref="AP167:AT167"/>
    <mergeCell ref="AP168:AT168"/>
    <mergeCell ref="AP169:AT169"/>
    <mergeCell ref="AP170:AT170"/>
    <mergeCell ref="AP171:AT171"/>
    <mergeCell ref="AP172:AT172"/>
    <mergeCell ref="AP155:AT155"/>
    <mergeCell ref="AP156:AT156"/>
    <mergeCell ref="AP157:AT157"/>
    <mergeCell ref="AP158:AT158"/>
    <mergeCell ref="AP159:AT159"/>
    <mergeCell ref="AP160:AT160"/>
    <mergeCell ref="AP161:AT161"/>
    <mergeCell ref="AP162:AT162"/>
    <mergeCell ref="AP163:AT163"/>
    <mergeCell ref="AP146:AT146"/>
    <mergeCell ref="AP147:AT147"/>
    <mergeCell ref="AP148:AT148"/>
    <mergeCell ref="AP149:AT149"/>
    <mergeCell ref="AP150:AT150"/>
    <mergeCell ref="AP151:AT151"/>
    <mergeCell ref="AP152:AT152"/>
    <mergeCell ref="AP153:AT153"/>
    <mergeCell ref="AP154:AT154"/>
    <mergeCell ref="AP137:AT137"/>
    <mergeCell ref="AP138:AT138"/>
    <mergeCell ref="AP139:AT139"/>
    <mergeCell ref="AP140:AT140"/>
    <mergeCell ref="AP141:AT141"/>
    <mergeCell ref="AP142:AT142"/>
    <mergeCell ref="AP143:AT143"/>
    <mergeCell ref="AP144:AT144"/>
    <mergeCell ref="AP145:AT145"/>
    <mergeCell ref="AP128:AT128"/>
    <mergeCell ref="AP129:AT129"/>
    <mergeCell ref="AP130:AT130"/>
    <mergeCell ref="AP131:AT131"/>
    <mergeCell ref="AP132:AT132"/>
    <mergeCell ref="AP133:AT133"/>
    <mergeCell ref="AP134:AT134"/>
    <mergeCell ref="AP135:AT135"/>
    <mergeCell ref="AP136:AT136"/>
    <mergeCell ref="AP119:AT119"/>
    <mergeCell ref="AP120:AT120"/>
    <mergeCell ref="AP121:AT121"/>
    <mergeCell ref="AP122:AT122"/>
    <mergeCell ref="AP123:AT123"/>
    <mergeCell ref="AP124:AT124"/>
    <mergeCell ref="AP125:AT125"/>
    <mergeCell ref="AP126:AT126"/>
    <mergeCell ref="AP127:AT127"/>
    <mergeCell ref="AP110:AT110"/>
    <mergeCell ref="AP111:AT111"/>
    <mergeCell ref="AP112:AT112"/>
    <mergeCell ref="AP113:AT113"/>
    <mergeCell ref="AP114:AT114"/>
    <mergeCell ref="AP115:AT115"/>
    <mergeCell ref="AP116:AT116"/>
    <mergeCell ref="AP117:AT117"/>
    <mergeCell ref="AP118:AT118"/>
    <mergeCell ref="AP6:AT6"/>
    <mergeCell ref="AP7:AT7"/>
    <mergeCell ref="AP5:AT5"/>
    <mergeCell ref="AP34:AT34"/>
    <mergeCell ref="AP35:AT35"/>
    <mergeCell ref="AP36:AT36"/>
    <mergeCell ref="AP37:AT37"/>
    <mergeCell ref="AP38:AT38"/>
    <mergeCell ref="AP44:AT44"/>
    <mergeCell ref="AP32:AT32"/>
    <mergeCell ref="AP33:AT33"/>
    <mergeCell ref="AP39:AT39"/>
    <mergeCell ref="AP40:AT40"/>
    <mergeCell ref="AP41:AT41"/>
    <mergeCell ref="AP42:AT42"/>
    <mergeCell ref="AP43:AT43"/>
    <mergeCell ref="AP8:AT8"/>
    <mergeCell ref="AP9:AT9"/>
    <mergeCell ref="AP10:AT10"/>
    <mergeCell ref="AP11:AT11"/>
    <mergeCell ref="AP12:AT12"/>
    <mergeCell ref="AP13:AT13"/>
    <mergeCell ref="AP14:AT14"/>
    <mergeCell ref="AP51:AT51"/>
    <mergeCell ref="AP52:AT52"/>
    <mergeCell ref="AP53:AT53"/>
    <mergeCell ref="AP56:AT56"/>
    <mergeCell ref="AP57:AT57"/>
    <mergeCell ref="AP58:AT58"/>
    <mergeCell ref="AP45:AT45"/>
    <mergeCell ref="AP46:AT46"/>
    <mergeCell ref="AP47:AT47"/>
    <mergeCell ref="AP48:AT48"/>
    <mergeCell ref="AP49:AT49"/>
    <mergeCell ref="AP50:AT50"/>
    <mergeCell ref="AP54:AT54"/>
    <mergeCell ref="AP55:AT55"/>
    <mergeCell ref="AP70:AT70"/>
    <mergeCell ref="AP71:AT71"/>
    <mergeCell ref="AP72:AT72"/>
    <mergeCell ref="AP73:AT73"/>
    <mergeCell ref="AP74:AT74"/>
    <mergeCell ref="AP59:AT59"/>
    <mergeCell ref="AP60:AT60"/>
    <mergeCell ref="AP61:AT61"/>
    <mergeCell ref="AP62:AT62"/>
    <mergeCell ref="AP68:AT68"/>
    <mergeCell ref="AP69:AT69"/>
    <mergeCell ref="AP63:AT63"/>
    <mergeCell ref="AP64:AT64"/>
    <mergeCell ref="AP65:AT65"/>
    <mergeCell ref="AP66:AT66"/>
    <mergeCell ref="AP67:AT67"/>
    <mergeCell ref="AP75:AT75"/>
    <mergeCell ref="AP76:AT76"/>
    <mergeCell ref="AP77:AT77"/>
    <mergeCell ref="AP78:AT78"/>
    <mergeCell ref="AP79:AT79"/>
    <mergeCell ref="AP104:AT104"/>
    <mergeCell ref="AP105:AT105"/>
    <mergeCell ref="AP92:AT92"/>
    <mergeCell ref="AP93:AT93"/>
    <mergeCell ref="AP94:AT94"/>
    <mergeCell ref="AP95:AT95"/>
    <mergeCell ref="AP96:AT96"/>
    <mergeCell ref="AP97:AT97"/>
    <mergeCell ref="AP98:AT98"/>
    <mergeCell ref="AP99:AT99"/>
    <mergeCell ref="AP100:AT100"/>
    <mergeCell ref="AP101:AT101"/>
    <mergeCell ref="AP102:AT102"/>
    <mergeCell ref="AP103:AT103"/>
    <mergeCell ref="AP106:AT106"/>
    <mergeCell ref="AP107:AT107"/>
    <mergeCell ref="AP108:AT108"/>
    <mergeCell ref="AP109:AT109"/>
    <mergeCell ref="P228:Q228"/>
    <mergeCell ref="C222:K223"/>
    <mergeCell ref="C232:K233"/>
    <mergeCell ref="P238:Q238"/>
    <mergeCell ref="C242:K243"/>
    <mergeCell ref="P248:Q248"/>
    <mergeCell ref="C252:K253"/>
    <mergeCell ref="P258:Q258"/>
    <mergeCell ref="C262:K263"/>
    <mergeCell ref="P268:Q268"/>
    <mergeCell ref="C272:K273"/>
    <mergeCell ref="P278:Q278"/>
    <mergeCell ref="C351:E351"/>
    <mergeCell ref="F351:H351"/>
  </mergeCells>
  <pageMargins left="0.39370078740157483" right="0.39370078740157483" top="0.39370078740157483" bottom="0.39370078740157483" header="0.31496062992125984" footer="0.31496062992125984"/>
  <pageSetup paperSize="9" scale="99" fitToHeight="0" orientation="portrait" horizontalDpi="1200" verticalDpi="1200" r:id="rId1"/>
  <rowBreaks count="1" manualBreakCount="1">
    <brk id="28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B119-AE57-47D6-9D99-80DC84A81264}">
  <dimension ref="A1:O453"/>
  <sheetViews>
    <sheetView zoomScale="80" zoomScaleNormal="80" workbookViewId="0">
      <pane xSplit="3" ySplit="1" topLeftCell="D2" activePane="bottomRight" state="frozen"/>
      <selection activeCell="B21" sqref="B21"/>
      <selection pane="topRight" activeCell="B21" sqref="B21"/>
      <selection pane="bottomLeft" activeCell="B21" sqref="B21"/>
      <selection pane="bottomRight" activeCell="D2" sqref="D2"/>
    </sheetView>
  </sheetViews>
  <sheetFormatPr baseColWidth="10" defaultColWidth="9.28515625" defaultRowHeight="10.199999999999999"/>
  <cols>
    <col min="1" max="1" width="4.28515625" style="8" customWidth="1"/>
    <col min="3" max="3" width="33.140625" customWidth="1"/>
    <col min="4" max="4" width="9.28515625" customWidth="1"/>
    <col min="5" max="12" width="34.28515625" customWidth="1"/>
    <col min="13" max="14" width="100" customWidth="1"/>
    <col min="15" max="15" width="100" style="143" customWidth="1"/>
  </cols>
  <sheetData>
    <row r="1" spans="1:15" ht="30.6">
      <c r="A1" s="131"/>
      <c r="B1" s="31" t="s">
        <v>1030</v>
      </c>
      <c r="C1" s="31" t="s">
        <v>1031</v>
      </c>
      <c r="D1" s="31" t="s">
        <v>1032</v>
      </c>
      <c r="E1" s="31" t="s">
        <v>1033</v>
      </c>
      <c r="F1" s="31" t="s">
        <v>1034</v>
      </c>
      <c r="G1" s="31" t="s">
        <v>1035</v>
      </c>
      <c r="H1" s="31" t="s">
        <v>1036</v>
      </c>
      <c r="I1" s="31" t="s">
        <v>1037</v>
      </c>
      <c r="J1" s="31" t="s">
        <v>1038</v>
      </c>
      <c r="K1" s="31" t="s">
        <v>1039</v>
      </c>
      <c r="L1" s="31" t="s">
        <v>1040</v>
      </c>
      <c r="M1" s="1" t="s">
        <v>1041</v>
      </c>
      <c r="N1" s="1" t="s">
        <v>1042</v>
      </c>
      <c r="O1" s="132" t="s">
        <v>1043</v>
      </c>
    </row>
    <row r="2" spans="1:15" ht="19.5" customHeight="1">
      <c r="A2" s="133" t="s">
        <v>1044</v>
      </c>
      <c r="B2" s="134"/>
      <c r="C2" s="135"/>
      <c r="D2" s="136">
        <v>3</v>
      </c>
      <c r="E2" s="137"/>
      <c r="F2" s="137"/>
      <c r="G2" s="137"/>
      <c r="H2" s="137"/>
      <c r="I2" s="137"/>
      <c r="J2" s="137"/>
      <c r="K2" s="137"/>
      <c r="L2" s="137"/>
      <c r="M2" s="138" t="str">
        <f>"Pre-defined codes:"</f>
        <v>Pre-defined codes:</v>
      </c>
      <c r="N2" s="138" t="str">
        <f>"festgelegte Codes:"</f>
        <v>festgelegte Codes:</v>
      </c>
      <c r="O2" s="139"/>
    </row>
    <row r="3" spans="1:15">
      <c r="A3" s="140"/>
      <c r="B3" s="141">
        <v>1</v>
      </c>
      <c r="C3" s="142">
        <v>0</v>
      </c>
      <c r="D3" s="141"/>
      <c r="E3" s="142" t="s">
        <v>1045</v>
      </c>
      <c r="F3" s="142"/>
      <c r="G3" s="5"/>
      <c r="H3" s="5"/>
      <c r="I3" s="5" t="s">
        <v>1046</v>
      </c>
      <c r="J3" s="142" t="s">
        <v>1047</v>
      </c>
      <c r="K3" s="5"/>
      <c r="L3" s="5"/>
      <c r="M3" t="str">
        <f>""""&amp;$C3&amp;""": "&amp;$E3&amp;IF(F3&lt;&gt;""," / "&amp;F3,"")</f>
        <v>"0": "FALSE"</v>
      </c>
      <c r="N3" t="str">
        <f>""""&amp;$C3&amp;""": "&amp;$I3&amp;IF(J3&lt;&gt;""," / "&amp;J3,"")</f>
        <v>"0": "FALSCH" / trifft zu</v>
      </c>
      <c r="O3" s="143" t="e">
        <f t="shared" ref="O3:O71" ca="1" si="0">IF(C3&lt;&gt;"","'"&amp;C3&amp;"'"&amp;IF(OFFSET(O3,1,0)&lt;&gt;"",","&amp;OFFSET(O3,1,0),""),"")</f>
        <v>#N/A</v>
      </c>
    </row>
    <row r="4" spans="1:15">
      <c r="A4" s="140"/>
      <c r="B4" s="141">
        <v>2</v>
      </c>
      <c r="C4" s="142">
        <v>1</v>
      </c>
      <c r="D4" s="141"/>
      <c r="E4" s="142" t="s">
        <v>1048</v>
      </c>
      <c r="F4" s="142"/>
      <c r="G4" s="5"/>
      <c r="H4" s="5"/>
      <c r="I4" s="5" t="s">
        <v>1049</v>
      </c>
      <c r="J4" s="142" t="s">
        <v>1050</v>
      </c>
      <c r="K4" s="5"/>
      <c r="L4" s="5"/>
      <c r="M4" t="str">
        <f t="shared" ref="M4:M5" si="1">""""&amp;$C4&amp;""": "&amp;$E4&amp;IF(F4&lt;&gt;""," / "&amp;F4,"")</f>
        <v>"1": "TRUE"</v>
      </c>
      <c r="N4" t="str">
        <f t="shared" ref="N4:N5" si="2">""""&amp;$C4&amp;""": "&amp;$I4&amp;IF(J4&lt;&gt;""," / "&amp;J4,"")</f>
        <v>"1": "WAHR" / trifft nicht zu</v>
      </c>
      <c r="O4" s="143" t="e">
        <f t="shared" ca="1" si="0"/>
        <v>#N/A</v>
      </c>
    </row>
    <row r="5" spans="1:15">
      <c r="A5" s="140"/>
      <c r="B5" s="141">
        <v>3</v>
      </c>
      <c r="C5" s="142" t="e">
        <v>#N/A</v>
      </c>
      <c r="D5" s="141"/>
      <c r="E5" s="5" t="s">
        <v>1051</v>
      </c>
      <c r="F5" s="5" t="s">
        <v>1052</v>
      </c>
      <c r="G5" s="5"/>
      <c r="H5" s="5"/>
      <c r="I5" s="5" t="s">
        <v>1053</v>
      </c>
      <c r="J5" s="5" t="s">
        <v>1054</v>
      </c>
      <c r="K5" s="5"/>
      <c r="L5" s="5"/>
      <c r="M5" t="e">
        <f t="shared" si="1"/>
        <v>#N/A</v>
      </c>
      <c r="N5" t="e">
        <f t="shared" si="2"/>
        <v>#N/A</v>
      </c>
      <c r="O5" s="143" t="e">
        <f t="shared" ca="1" si="0"/>
        <v>#N/A</v>
      </c>
    </row>
    <row r="6" spans="1:15" ht="19.5" customHeight="1">
      <c r="A6" s="133" t="s">
        <v>1055</v>
      </c>
      <c r="B6" s="134"/>
      <c r="C6" s="135"/>
      <c r="D6" s="136">
        <v>4</v>
      </c>
      <c r="E6" s="137" t="s">
        <v>1056</v>
      </c>
      <c r="F6" s="137"/>
      <c r="G6" s="137"/>
      <c r="H6" s="137"/>
      <c r="I6" s="137" t="s">
        <v>1057</v>
      </c>
      <c r="J6" s="137"/>
      <c r="K6" s="137"/>
      <c r="L6" s="137"/>
      <c r="M6" s="138" t="str">
        <f>"Pre-defined codes:"</f>
        <v>Pre-defined codes:</v>
      </c>
      <c r="N6" s="138" t="str">
        <f>"festgelegte Codes:"</f>
        <v>festgelegte Codes:</v>
      </c>
      <c r="O6" s="143" t="str">
        <f t="shared" ca="1" si="0"/>
        <v/>
      </c>
    </row>
    <row r="7" spans="1:15">
      <c r="A7" s="140"/>
      <c r="B7" s="141">
        <v>1</v>
      </c>
      <c r="C7" s="142" t="s">
        <v>1058</v>
      </c>
      <c r="D7" s="141"/>
      <c r="E7" s="142" t="s">
        <v>1058</v>
      </c>
      <c r="F7" s="142"/>
      <c r="G7" s="5"/>
      <c r="H7" s="5"/>
      <c r="I7" s="5" t="s">
        <v>1059</v>
      </c>
      <c r="J7" s="142"/>
      <c r="K7" s="5"/>
      <c r="L7" s="5"/>
      <c r="M7" t="str">
        <f>""""&amp;$C7&amp;""": "&amp;$E7&amp;IF(F7&lt;&gt;""," / "&amp;F7,"")</f>
        <v>"Yes": Yes</v>
      </c>
      <c r="N7" t="str">
        <f>""""&amp;$C7&amp;""": "&amp;$I7&amp;IF(J7&lt;&gt;""," / "&amp;J7,"")</f>
        <v>"Yes": ja</v>
      </c>
      <c r="O7" s="143" t="str">
        <f t="shared" ca="1" si="0"/>
        <v>'Yes','No','Unknown','_NA_'</v>
      </c>
    </row>
    <row r="8" spans="1:15">
      <c r="A8" s="140"/>
      <c r="B8" s="141">
        <v>2</v>
      </c>
      <c r="C8" s="142" t="s">
        <v>1060</v>
      </c>
      <c r="D8" s="141"/>
      <c r="E8" s="142" t="s">
        <v>1060</v>
      </c>
      <c r="F8" s="142"/>
      <c r="G8" s="5"/>
      <c r="H8" s="5"/>
      <c r="I8" s="5" t="s">
        <v>1061</v>
      </c>
      <c r="J8" s="142"/>
      <c r="K8" s="5"/>
      <c r="L8" s="5"/>
      <c r="M8" t="str">
        <f t="shared" ref="M8:M10" si="3">""""&amp;$C8&amp;""": "&amp;$E8&amp;IF(F8&lt;&gt;""," / "&amp;F8,"")</f>
        <v>"No": No</v>
      </c>
      <c r="N8" t="str">
        <f t="shared" ref="N8:N10" si="4">""""&amp;$C8&amp;""": "&amp;$I8&amp;IF(J8&lt;&gt;""," / "&amp;J8,"")</f>
        <v>"No": nein</v>
      </c>
      <c r="O8" s="143" t="str">
        <f t="shared" ca="1" si="0"/>
        <v>'No','Unknown','_NA_'</v>
      </c>
    </row>
    <row r="9" spans="1:15">
      <c r="A9" s="140"/>
      <c r="B9" s="141">
        <v>3</v>
      </c>
      <c r="C9" s="142" t="s">
        <v>1062</v>
      </c>
      <c r="D9" s="141"/>
      <c r="E9" s="142" t="s">
        <v>1063</v>
      </c>
      <c r="F9" s="142"/>
      <c r="G9" s="5"/>
      <c r="H9" s="5"/>
      <c r="I9" s="5" t="s">
        <v>1064</v>
      </c>
      <c r="J9" s="142"/>
      <c r="K9" s="5"/>
      <c r="L9" s="5"/>
      <c r="M9" t="str">
        <f t="shared" si="3"/>
        <v>"Unknown": not known</v>
      </c>
      <c r="N9" t="str">
        <f t="shared" si="4"/>
        <v>"Unknown": unbekannt</v>
      </c>
      <c r="O9" s="143" t="str">
        <f t="shared" ca="1" si="0"/>
        <v>'Unknown','_NA_'</v>
      </c>
    </row>
    <row r="10" spans="1:15">
      <c r="A10" s="140"/>
      <c r="B10" s="141">
        <v>4</v>
      </c>
      <c r="C10" s="5" t="s">
        <v>41</v>
      </c>
      <c r="D10" s="141"/>
      <c r="E10" s="5" t="s">
        <v>1051</v>
      </c>
      <c r="F10" s="5" t="s">
        <v>1052</v>
      </c>
      <c r="G10" s="5"/>
      <c r="H10" s="5"/>
      <c r="I10" s="5" t="s">
        <v>1053</v>
      </c>
      <c r="J10" s="5" t="s">
        <v>1054</v>
      </c>
      <c r="K10" s="5"/>
      <c r="L10" s="5"/>
      <c r="M10" t="str">
        <f t="shared" si="3"/>
        <v>"_NA_": N/A / not available / not applicable</v>
      </c>
      <c r="N10" t="str">
        <f t="shared" si="4"/>
        <v>"_NA_": k.A. / keine Angaben</v>
      </c>
      <c r="O10" s="143" t="str">
        <f t="shared" ca="1" si="0"/>
        <v>'_NA_'</v>
      </c>
    </row>
    <row r="11" spans="1:15" ht="19.5" customHeight="1">
      <c r="A11" s="133" t="s">
        <v>15</v>
      </c>
      <c r="B11" s="134"/>
      <c r="C11" s="135"/>
      <c r="D11" s="136">
        <v>53</v>
      </c>
      <c r="E11" s="137" t="s">
        <v>1065</v>
      </c>
      <c r="F11" s="137" t="s">
        <v>1066</v>
      </c>
      <c r="G11" s="137"/>
      <c r="H11" s="137"/>
      <c r="I11" s="137"/>
      <c r="J11" s="137"/>
      <c r="K11" s="137"/>
      <c r="L11" s="137"/>
      <c r="M11" s="138"/>
      <c r="N11" s="138"/>
      <c r="O11" s="143" t="str">
        <f t="shared" ca="1" si="0"/>
        <v/>
      </c>
    </row>
    <row r="12" spans="1:15" ht="20.399999999999999">
      <c r="A12" s="140"/>
      <c r="B12" s="141">
        <v>1</v>
      </c>
      <c r="C12" s="5" t="s">
        <v>1067</v>
      </c>
      <c r="D12" s="141"/>
      <c r="E12" s="5" t="s">
        <v>1068</v>
      </c>
      <c r="F12" s="5" t="s">
        <v>1069</v>
      </c>
      <c r="G12" s="5" t="s">
        <v>1070</v>
      </c>
      <c r="H12" s="5"/>
      <c r="I12" s="5"/>
      <c r="J12" s="5"/>
      <c r="K12" s="5"/>
      <c r="L12" s="5"/>
      <c r="O12" s="143" t="str">
        <f t="shared" ca="1" si="0"/>
        <v>'AD','AL','AT','BA','BE','BG','BY','CH','CY','CZ','DE','DK','EE','ES','FI','FO','FR','FX','GB','GI','GR','HR','HU','IE','EC','IT','LI','LT','LU','LV','MC','MD','ME','MK','MT','NL','NO','PL','PT','RO','RS','SE','SI','SJ','SK','SM','UA','UK','VA','XX','EU','##','_NA_'</v>
      </c>
    </row>
    <row r="13" spans="1:15" ht="20.399999999999999">
      <c r="A13" s="140"/>
      <c r="B13" s="141">
        <v>2</v>
      </c>
      <c r="C13" s="5" t="s">
        <v>1071</v>
      </c>
      <c r="D13" s="141"/>
      <c r="E13" s="5" t="s">
        <v>1072</v>
      </c>
      <c r="F13" s="5" t="s">
        <v>1069</v>
      </c>
      <c r="G13" s="5" t="s">
        <v>1073</v>
      </c>
      <c r="H13" s="5"/>
      <c r="I13" s="5"/>
      <c r="J13" s="5"/>
      <c r="K13" s="5"/>
      <c r="L13" s="5"/>
      <c r="O13" s="143" t="str">
        <f t="shared" ca="1" si="0"/>
        <v>'AL','AT','BA','BE','BG','BY','CH','CY','CZ','DE','DK','EE','ES','FI','FO','FR','FX','GB','GI','GR','HR','HU','IE','EC','IT','LI','LT','LU','LV','MC','MD','ME','MK','MT','NL','NO','PL','PT','RO','RS','SE','SI','SJ','SK','SM','UA','UK','VA','XX','EU','##','_NA_'</v>
      </c>
    </row>
    <row r="14" spans="1:15">
      <c r="A14" s="140"/>
      <c r="B14" s="141">
        <v>3</v>
      </c>
      <c r="C14" s="5" t="s">
        <v>360</v>
      </c>
      <c r="D14" s="141"/>
      <c r="E14" s="5" t="s">
        <v>1074</v>
      </c>
      <c r="F14" s="5" t="s">
        <v>1075</v>
      </c>
      <c r="G14" s="5" t="s">
        <v>1076</v>
      </c>
      <c r="H14" s="5"/>
      <c r="I14" s="5"/>
      <c r="J14" s="5"/>
      <c r="K14" s="5"/>
      <c r="L14" s="5"/>
      <c r="O14" s="143" t="str">
        <f t="shared" ca="1" si="0"/>
        <v>'AT','BA','BE','BG','BY','CH','CY','CZ','DE','DK','EE','ES','FI','FO','FR','FX','GB','GI','GR','HR','HU','IE','EC','IT','LI','LT','LU','LV','MC','MD','ME','MK','MT','NL','NO','PL','PT','RO','RS','SE','SI','SJ','SK','SM','UA','UK','VA','XX','EU','##','_NA_'</v>
      </c>
    </row>
    <row r="15" spans="1:15" ht="20.399999999999999">
      <c r="A15" s="140"/>
      <c r="B15" s="141">
        <v>4</v>
      </c>
      <c r="C15" s="5" t="s">
        <v>1077</v>
      </c>
      <c r="D15" s="141"/>
      <c r="E15" s="5" t="s">
        <v>1078</v>
      </c>
      <c r="F15" s="5" t="s">
        <v>1069</v>
      </c>
      <c r="G15" s="5" t="s">
        <v>1079</v>
      </c>
      <c r="H15" s="5"/>
      <c r="I15" s="5"/>
      <c r="J15" s="5"/>
      <c r="K15" s="5"/>
      <c r="L15" s="5"/>
      <c r="O15" s="143" t="str">
        <f t="shared" ca="1" si="0"/>
        <v>'BA','BE','BG','BY','CH','CY','CZ','DE','DK','EE','ES','FI','FO','FR','FX','GB','GI','GR','HR','HU','IE','EC','IT','LI','LT','LU','LV','MC','MD','ME','MK','MT','NL','NO','PL','PT','RO','RS','SE','SI','SJ','SK','SM','UA','UK','VA','XX','EU','##','_NA_'</v>
      </c>
    </row>
    <row r="16" spans="1:15" ht="20.399999999999999">
      <c r="A16" s="140"/>
      <c r="B16" s="141">
        <v>5</v>
      </c>
      <c r="C16" s="5" t="s">
        <v>362</v>
      </c>
      <c r="D16" s="141"/>
      <c r="E16" s="5" t="s">
        <v>1080</v>
      </c>
      <c r="F16" s="5" t="s">
        <v>1069</v>
      </c>
      <c r="G16" s="5" t="s">
        <v>1081</v>
      </c>
      <c r="H16" s="5"/>
      <c r="I16" s="5"/>
      <c r="J16" s="5"/>
      <c r="K16" s="5"/>
      <c r="L16" s="5"/>
      <c r="O16" s="143" t="str">
        <f t="shared" ca="1" si="0"/>
        <v>'BE','BG','BY','CH','CY','CZ','DE','DK','EE','ES','FI','FO','FR','FX','GB','GI','GR','HR','HU','IE','EC','IT','LI','LT','LU','LV','MC','MD','ME','MK','MT','NL','NO','PL','PT','RO','RS','SE','SI','SJ','SK','SM','UA','UK','VA','XX','EU','##','_NA_'</v>
      </c>
    </row>
    <row r="17" spans="1:15" ht="20.399999999999999">
      <c r="A17" s="140"/>
      <c r="B17" s="141">
        <v>6</v>
      </c>
      <c r="C17" s="5" t="s">
        <v>1082</v>
      </c>
      <c r="D17" s="141"/>
      <c r="E17" s="5" t="s">
        <v>1083</v>
      </c>
      <c r="F17" s="5" t="s">
        <v>1069</v>
      </c>
      <c r="G17" s="5" t="s">
        <v>1084</v>
      </c>
      <c r="H17" s="5"/>
      <c r="I17" s="5"/>
      <c r="J17" s="5"/>
      <c r="K17" s="5"/>
      <c r="L17" s="5"/>
      <c r="O17" s="143" t="str">
        <f t="shared" ca="1" si="0"/>
        <v>'BG','BY','CH','CY','CZ','DE','DK','EE','ES','FI','FO','FR','FX','GB','GI','GR','HR','HU','IE','EC','IT','LI','LT','LU','LV','MC','MD','ME','MK','MT','NL','NO','PL','PT','RO','RS','SE','SI','SJ','SK','SM','UA','UK','VA','XX','EU','##','_NA_'</v>
      </c>
    </row>
    <row r="18" spans="1:15" ht="20.399999999999999">
      <c r="A18" s="140"/>
      <c r="B18" s="141">
        <v>7</v>
      </c>
      <c r="C18" s="5" t="s">
        <v>1085</v>
      </c>
      <c r="D18" s="141"/>
      <c r="E18" s="5" t="s">
        <v>1086</v>
      </c>
      <c r="F18" s="5" t="s">
        <v>1069</v>
      </c>
      <c r="G18" s="5" t="s">
        <v>1087</v>
      </c>
      <c r="H18" s="5"/>
      <c r="I18" s="5"/>
      <c r="J18" s="5"/>
      <c r="K18" s="5"/>
      <c r="L18" s="5"/>
      <c r="O18" s="143" t="str">
        <f t="shared" ca="1" si="0"/>
        <v>'BY','CH','CY','CZ','DE','DK','EE','ES','FI','FO','FR','FX','GB','GI','GR','HR','HU','IE','EC','IT','LI','LT','LU','LV','MC','MD','ME','MK','MT','NL','NO','PL','PT','RO','RS','SE','SI','SJ','SK','SM','UA','UK','VA','XX','EU','##','_NA_'</v>
      </c>
    </row>
    <row r="19" spans="1:15">
      <c r="A19" s="140"/>
      <c r="B19" s="141">
        <v>8</v>
      </c>
      <c r="C19" s="5" t="s">
        <v>1088</v>
      </c>
      <c r="D19" s="141"/>
      <c r="E19" s="5" t="s">
        <v>1089</v>
      </c>
      <c r="F19" s="5" t="s">
        <v>1090</v>
      </c>
      <c r="G19" s="5" t="s">
        <v>1091</v>
      </c>
      <c r="H19" s="5"/>
      <c r="I19" s="5"/>
      <c r="J19" s="5"/>
      <c r="K19" s="5"/>
      <c r="L19" s="5"/>
      <c r="O19" s="143" t="str">
        <f t="shared" ca="1" si="0"/>
        <v>'CH','CY','CZ','DE','DK','EE','ES','FI','FO','FR','FX','GB','GI','GR','HR','HU','IE','EC','IT','LI','LT','LU','LV','MC','MD','ME','MK','MT','NL','NO','PL','PT','RO','RS','SE','SI','SJ','SK','SM','UA','UK','VA','XX','EU','##','_NA_'</v>
      </c>
    </row>
    <row r="20" spans="1:15" ht="20.399999999999999">
      <c r="A20" s="140"/>
      <c r="B20" s="141">
        <v>9</v>
      </c>
      <c r="C20" s="5" t="s">
        <v>356</v>
      </c>
      <c r="D20" s="141"/>
      <c r="E20" s="5" t="s">
        <v>1092</v>
      </c>
      <c r="F20" s="5" t="s">
        <v>1069</v>
      </c>
      <c r="G20" s="5" t="s">
        <v>1093</v>
      </c>
      <c r="H20" s="5"/>
      <c r="I20" s="5"/>
      <c r="J20" s="5"/>
      <c r="K20" s="5"/>
      <c r="L20" s="5"/>
      <c r="O20" s="143" t="str">
        <f t="shared" ca="1" si="0"/>
        <v>'CY','CZ','DE','DK','EE','ES','FI','FO','FR','FX','GB','GI','GR','HR','HU','IE','EC','IT','LI','LT','LU','LV','MC','MD','ME','MK','MT','NL','NO','PL','PT','RO','RS','SE','SI','SJ','SK','SM','UA','UK','VA','XX','EU','##','_NA_'</v>
      </c>
    </row>
    <row r="21" spans="1:15" ht="20.399999999999999">
      <c r="A21" s="140"/>
      <c r="B21" s="141">
        <v>10</v>
      </c>
      <c r="C21" s="5" t="s">
        <v>359</v>
      </c>
      <c r="D21" s="141"/>
      <c r="E21" s="5" t="s">
        <v>1094</v>
      </c>
      <c r="F21" s="5" t="s">
        <v>1069</v>
      </c>
      <c r="G21" s="5" t="s">
        <v>1095</v>
      </c>
      <c r="H21" s="5"/>
      <c r="I21" s="5"/>
      <c r="J21" s="5"/>
      <c r="K21" s="5"/>
      <c r="L21" s="5"/>
      <c r="O21" s="143" t="str">
        <f t="shared" ca="1" si="0"/>
        <v>'CZ','DE','DK','EE','ES','FI','FO','FR','FX','GB','GI','GR','HR','HU','IE','EC','IT','LI','LT','LU','LV','MC','MD','ME','MK','MT','NL','NO','PL','PT','RO','RS','SE','SI','SJ','SK','SM','UA','UK','VA','XX','EU','##','_NA_'</v>
      </c>
    </row>
    <row r="22" spans="1:15">
      <c r="A22" s="140"/>
      <c r="B22" s="141">
        <v>11</v>
      </c>
      <c r="C22" s="5" t="s">
        <v>16</v>
      </c>
      <c r="D22" s="141"/>
      <c r="E22" s="5" t="s">
        <v>1096</v>
      </c>
      <c r="F22" s="5" t="s">
        <v>1097</v>
      </c>
      <c r="G22" s="5" t="s">
        <v>1098</v>
      </c>
      <c r="H22" s="5"/>
      <c r="I22" s="5"/>
      <c r="J22" s="5"/>
      <c r="K22" s="5"/>
      <c r="L22" s="5"/>
      <c r="O22" s="143" t="str">
        <f t="shared" ca="1" si="0"/>
        <v>'DE','DK','EE','ES','FI','FO','FR','FX','GB','GI','GR','HR','HU','IE','EC','IT','LI','LT','LU','LV','MC','MD','ME','MK','MT','NL','NO','PL','PT','RO','RS','SE','SI','SJ','SK','SM','UA','UK','VA','XX','EU','##','_NA_'</v>
      </c>
    </row>
    <row r="23" spans="1:15" ht="20.399999999999999">
      <c r="A23" s="140"/>
      <c r="B23" s="141">
        <v>12</v>
      </c>
      <c r="C23" s="5" t="s">
        <v>366</v>
      </c>
      <c r="D23" s="141"/>
      <c r="E23" s="5" t="s">
        <v>1099</v>
      </c>
      <c r="F23" s="5" t="s">
        <v>1069</v>
      </c>
      <c r="G23" s="5" t="s">
        <v>1100</v>
      </c>
      <c r="H23" s="5"/>
      <c r="I23" s="5"/>
      <c r="J23" s="5"/>
      <c r="K23" s="5"/>
      <c r="L23" s="5"/>
      <c r="O23" s="143" t="str">
        <f t="shared" ca="1" si="0"/>
        <v>'DK','EE','ES','FI','FO','FR','FX','GB','GI','GR','HR','HU','IE','EC','IT','LI','LT','LU','LV','MC','MD','ME','MK','MT','NL','NO','PL','PT','RO','RS','SE','SI','SJ','SK','SM','UA','UK','VA','XX','EU','##','_NA_'</v>
      </c>
    </row>
    <row r="24" spans="1:15" ht="20.399999999999999">
      <c r="A24" s="140"/>
      <c r="B24" s="141">
        <v>13</v>
      </c>
      <c r="C24" s="5" t="s">
        <v>1101</v>
      </c>
      <c r="D24" s="141"/>
      <c r="E24" s="5" t="s">
        <v>1102</v>
      </c>
      <c r="F24" s="5" t="s">
        <v>1069</v>
      </c>
      <c r="G24" s="5" t="s">
        <v>1103</v>
      </c>
      <c r="H24" s="5"/>
      <c r="I24" s="5"/>
      <c r="J24" s="5"/>
      <c r="K24" s="5"/>
      <c r="L24" s="5"/>
      <c r="O24" s="143" t="str">
        <f t="shared" ca="1" si="0"/>
        <v>'EE','ES','FI','FO','FR','FX','GB','GI','GR','HR','HU','IE','EC','IT','LI','LT','LU','LV','MC','MD','ME','MK','MT','NL','NO','PL','PT','RO','RS','SE','SI','SJ','SK','SM','UA','UK','VA','XX','EU','##','_NA_'</v>
      </c>
    </row>
    <row r="25" spans="1:15" ht="20.399999999999999">
      <c r="A25" s="140"/>
      <c r="B25" s="141">
        <v>14</v>
      </c>
      <c r="C25" s="5" t="s">
        <v>363</v>
      </c>
      <c r="D25" s="141"/>
      <c r="E25" s="5" t="s">
        <v>1104</v>
      </c>
      <c r="F25" s="5" t="s">
        <v>1069</v>
      </c>
      <c r="G25" s="5" t="s">
        <v>1105</v>
      </c>
      <c r="H25" s="5"/>
      <c r="I25" s="5"/>
      <c r="J25" s="5"/>
      <c r="K25" s="5"/>
      <c r="L25" s="5"/>
      <c r="O25" s="143" t="str">
        <f t="shared" ca="1" si="0"/>
        <v>'ES','FI','FO','FR','FX','GB','GI','GR','HR','HU','IE','EC','IT','LI','LT','LU','LV','MC','MD','ME','MK','MT','NL','NO','PL','PT','RO','RS','SE','SI','SJ','SK','SM','UA','UK','VA','XX','EU','##','_NA_'</v>
      </c>
    </row>
    <row r="26" spans="1:15" ht="20.399999999999999">
      <c r="A26" s="140"/>
      <c r="B26" s="141">
        <v>15</v>
      </c>
      <c r="C26" s="5" t="s">
        <v>1106</v>
      </c>
      <c r="D26" s="141"/>
      <c r="E26" s="5" t="s">
        <v>1107</v>
      </c>
      <c r="F26" s="5" t="s">
        <v>1069</v>
      </c>
      <c r="G26" s="5" t="s">
        <v>1108</v>
      </c>
      <c r="H26" s="5"/>
      <c r="I26" s="5"/>
      <c r="J26" s="5"/>
      <c r="K26" s="5"/>
      <c r="L26" s="5"/>
      <c r="O26" s="143" t="str">
        <f t="shared" ca="1" si="0"/>
        <v>'FI','FO','FR','FX','GB','GI','GR','HR','HU','IE','EC','IT','LI','LT','LU','LV','MC','MD','ME','MK','MT','NL','NO','PL','PT','RO','RS','SE','SI','SJ','SK','SM','UA','UK','VA','XX','EU','##','_NA_'</v>
      </c>
    </row>
    <row r="27" spans="1:15" ht="20.399999999999999">
      <c r="A27" s="140"/>
      <c r="B27" s="141">
        <v>16</v>
      </c>
      <c r="C27" s="5" t="s">
        <v>1109</v>
      </c>
      <c r="D27" s="141"/>
      <c r="E27" s="5" t="s">
        <v>1110</v>
      </c>
      <c r="F27" s="5" t="s">
        <v>1069</v>
      </c>
      <c r="G27" s="5" t="s">
        <v>1111</v>
      </c>
      <c r="H27" s="5"/>
      <c r="I27" s="5"/>
      <c r="J27" s="5"/>
      <c r="K27" s="5"/>
      <c r="L27" s="5"/>
      <c r="O27" s="143" t="str">
        <f t="shared" ca="1" si="0"/>
        <v>'FO','FR','FX','GB','GI','GR','HR','HU','IE','EC','IT','LI','LT','LU','LV','MC','MD','ME','MK','MT','NL','NO','PL','PT','RO','RS','SE','SI','SJ','SK','SM','UA','UK','VA','XX','EU','##','_NA_'</v>
      </c>
    </row>
    <row r="28" spans="1:15">
      <c r="A28" s="140"/>
      <c r="B28" s="141">
        <v>17</v>
      </c>
      <c r="C28" s="5" t="s">
        <v>365</v>
      </c>
      <c r="D28" s="141"/>
      <c r="E28" s="5" t="s">
        <v>1112</v>
      </c>
      <c r="F28" s="5" t="s">
        <v>1112</v>
      </c>
      <c r="G28" s="5" t="s">
        <v>1113</v>
      </c>
      <c r="H28" s="5"/>
      <c r="I28" s="5"/>
      <c r="J28" s="5"/>
      <c r="K28" s="5"/>
      <c r="L28" s="5"/>
      <c r="O28" s="143" t="str">
        <f t="shared" ca="1" si="0"/>
        <v>'FR','FX','GB','GI','GR','HR','HU','IE','EC','IT','LI','LT','LU','LV','MC','MD','ME','MK','MT','NL','NO','PL','PT','RO','RS','SE','SI','SJ','SK','SM','UA','UK','VA','XX','EU','##','_NA_'</v>
      </c>
    </row>
    <row r="29" spans="1:15" ht="20.399999999999999">
      <c r="A29" s="140"/>
      <c r="B29" s="141">
        <v>18</v>
      </c>
      <c r="C29" s="5" t="s">
        <v>1114</v>
      </c>
      <c r="D29" s="141"/>
      <c r="E29" s="5" t="s">
        <v>1115</v>
      </c>
      <c r="F29" s="5" t="s">
        <v>1069</v>
      </c>
      <c r="G29" s="5" t="s">
        <v>1116</v>
      </c>
      <c r="H29" s="5"/>
      <c r="I29" s="5"/>
      <c r="J29" s="5"/>
      <c r="K29" s="5"/>
      <c r="L29" s="5"/>
      <c r="O29" s="143" t="str">
        <f t="shared" ca="1" si="0"/>
        <v>'FX','GB','GI','GR','HR','HU','IE','EC','IT','LI','LT','LU','LV','MC','MD','ME','MK','MT','NL','NO','PL','PT','RO','RS','SE','SI','SJ','SK','SM','UA','UK','VA','XX','EU','##','_NA_'</v>
      </c>
    </row>
    <row r="30" spans="1:15" ht="20.399999999999999">
      <c r="A30" s="140"/>
      <c r="B30" s="141">
        <v>19</v>
      </c>
      <c r="C30" s="5" t="s">
        <v>354</v>
      </c>
      <c r="D30" s="141"/>
      <c r="E30" s="5" t="s">
        <v>1117</v>
      </c>
      <c r="F30" s="5" t="s">
        <v>1118</v>
      </c>
      <c r="G30" s="5" t="s">
        <v>1119</v>
      </c>
      <c r="H30" s="5"/>
      <c r="I30" s="5"/>
      <c r="J30" s="5"/>
      <c r="K30" s="5"/>
      <c r="L30" s="5"/>
      <c r="O30" s="143" t="str">
        <f t="shared" ca="1" si="0"/>
        <v>'GB','GI','GR','HR','HU','IE','EC','IT','LI','LT','LU','LV','MC','MD','ME','MK','MT','NL','NO','PL','PT','RO','RS','SE','SI','SJ','SK','SM','UA','UK','VA','XX','EU','##','_NA_'</v>
      </c>
    </row>
    <row r="31" spans="1:15" ht="20.399999999999999">
      <c r="A31" s="140"/>
      <c r="B31" s="141">
        <v>20</v>
      </c>
      <c r="C31" s="5" t="s">
        <v>1120</v>
      </c>
      <c r="D31" s="141"/>
      <c r="E31" s="5" t="s">
        <v>1121</v>
      </c>
      <c r="F31" s="5" t="s">
        <v>1069</v>
      </c>
      <c r="G31" s="5" t="s">
        <v>1122</v>
      </c>
      <c r="H31" s="5"/>
      <c r="I31" s="5"/>
      <c r="J31" s="5"/>
      <c r="K31" s="5"/>
      <c r="L31" s="5"/>
      <c r="O31" s="143" t="str">
        <f t="shared" ca="1" si="0"/>
        <v>'GI','GR','HR','HU','IE','EC','IT','LI','LT','LU','LV','MC','MD','ME','MK','MT','NL','NO','PL','PT','RO','RS','SE','SI','SJ','SK','SM','UA','UK','VA','XX','EU','##','_NA_'</v>
      </c>
    </row>
    <row r="32" spans="1:15" ht="20.399999999999999">
      <c r="A32" s="140"/>
      <c r="B32" s="141">
        <v>21</v>
      </c>
      <c r="C32" s="5" t="s">
        <v>368</v>
      </c>
      <c r="D32" s="141"/>
      <c r="E32" s="5" t="s">
        <v>1123</v>
      </c>
      <c r="F32" s="5" t="s">
        <v>1069</v>
      </c>
      <c r="G32" s="5" t="s">
        <v>1124</v>
      </c>
      <c r="H32" s="5"/>
      <c r="I32" s="5"/>
      <c r="J32" s="5"/>
      <c r="K32" s="5"/>
      <c r="L32" s="5"/>
      <c r="O32" s="143" t="str">
        <f t="shared" ca="1" si="0"/>
        <v>'GR','HR','HU','IE','EC','IT','LI','LT','LU','LV','MC','MD','ME','MK','MT','NL','NO','PL','PT','RO','RS','SE','SI','SJ','SK','SM','UA','UK','VA','XX','EU','##','_NA_'</v>
      </c>
    </row>
    <row r="33" spans="1:15" ht="20.399999999999999">
      <c r="A33" s="140"/>
      <c r="B33" s="141">
        <v>22</v>
      </c>
      <c r="C33" s="5" t="s">
        <v>1125</v>
      </c>
      <c r="D33" s="141"/>
      <c r="E33" s="5" t="s">
        <v>1126</v>
      </c>
      <c r="F33" s="5" t="s">
        <v>1069</v>
      </c>
      <c r="G33" s="5" t="s">
        <v>1127</v>
      </c>
      <c r="H33" s="5"/>
      <c r="I33" s="5"/>
      <c r="J33" s="5"/>
      <c r="K33" s="5"/>
      <c r="L33" s="5"/>
      <c r="O33" s="143" t="str">
        <f t="shared" ca="1" si="0"/>
        <v>'HR','HU','IE','EC','IT','LI','LT','LU','LV','MC','MD','ME','MK','MT','NL','NO','PL','PT','RO','RS','SE','SI','SJ','SK','SM','UA','UK','VA','XX','EU','##','_NA_'</v>
      </c>
    </row>
    <row r="34" spans="1:15" ht="20.399999999999999">
      <c r="A34" s="140"/>
      <c r="B34" s="141">
        <v>23</v>
      </c>
      <c r="C34" s="5" t="s">
        <v>361</v>
      </c>
      <c r="D34" s="141"/>
      <c r="E34" s="5" t="s">
        <v>1128</v>
      </c>
      <c r="F34" s="5" t="s">
        <v>1069</v>
      </c>
      <c r="G34" s="5" t="s">
        <v>1129</v>
      </c>
      <c r="H34" s="5"/>
      <c r="I34" s="5"/>
      <c r="J34" s="5"/>
      <c r="K34" s="5"/>
      <c r="L34" s="5"/>
      <c r="O34" s="143" t="str">
        <f t="shared" ca="1" si="0"/>
        <v>'HU','IE','EC','IT','LI','LT','LU','LV','MC','MD','ME','MK','MT','NL','NO','PL','PT','RO','RS','SE','SI','SJ','SK','SM','UA','UK','VA','XX','EU','##','_NA_'</v>
      </c>
    </row>
    <row r="35" spans="1:15" ht="20.399999999999999">
      <c r="A35" s="140"/>
      <c r="B35" s="141">
        <v>24</v>
      </c>
      <c r="C35" s="5" t="s">
        <v>357</v>
      </c>
      <c r="D35" s="141"/>
      <c r="E35" s="5" t="s">
        <v>1130</v>
      </c>
      <c r="F35" s="5" t="s">
        <v>1069</v>
      </c>
      <c r="G35" s="5" t="s">
        <v>1131</v>
      </c>
      <c r="H35" s="5"/>
      <c r="I35" s="5"/>
      <c r="J35" s="5"/>
      <c r="K35" s="5"/>
      <c r="L35" s="5"/>
      <c r="O35" s="143" t="str">
        <f t="shared" ca="1" si="0"/>
        <v>'IE','EC','IT','LI','LT','LU','LV','MC','MD','ME','MK','MT','NL','NO','PL','PT','RO','RS','SE','SI','SJ','SK','SM','UA','UK','VA','XX','EU','##','_NA_'</v>
      </c>
    </row>
    <row r="36" spans="1:15" ht="20.399999999999999">
      <c r="A36" s="140"/>
      <c r="B36" s="141">
        <v>25</v>
      </c>
      <c r="C36" s="5" t="s">
        <v>1132</v>
      </c>
      <c r="D36" s="141"/>
      <c r="E36" s="5" t="s">
        <v>1133</v>
      </c>
      <c r="F36" s="5" t="s">
        <v>1069</v>
      </c>
      <c r="G36" s="5" t="s">
        <v>1134</v>
      </c>
      <c r="H36" s="5"/>
      <c r="I36" s="5"/>
      <c r="J36" s="5"/>
      <c r="K36" s="5"/>
      <c r="L36" s="5"/>
      <c r="O36" s="143" t="str">
        <f t="shared" ca="1" si="0"/>
        <v>'EC','IT','LI','LT','LU','LV','MC','MD','ME','MK','MT','NL','NO','PL','PT','RO','RS','SE','SI','SJ','SK','SM','UA','UK','VA','XX','EU','##','_NA_'</v>
      </c>
    </row>
    <row r="37" spans="1:15">
      <c r="A37" s="140"/>
      <c r="B37" s="141">
        <v>26</v>
      </c>
      <c r="C37" s="5" t="s">
        <v>353</v>
      </c>
      <c r="D37" s="141"/>
      <c r="E37" s="5" t="s">
        <v>1135</v>
      </c>
      <c r="F37" s="5" t="s">
        <v>1136</v>
      </c>
      <c r="G37" s="5" t="s">
        <v>1137</v>
      </c>
      <c r="H37" s="5"/>
      <c r="I37" s="5"/>
      <c r="J37" s="5"/>
      <c r="K37" s="5"/>
      <c r="L37" s="5"/>
      <c r="O37" s="143" t="str">
        <f t="shared" ca="1" si="0"/>
        <v>'IT','LI','LT','LU','LV','MC','MD','ME','MK','MT','NL','NO','PL','PT','RO','RS','SE','SI','SJ','SK','SM','UA','UK','VA','XX','EU','##','_NA_'</v>
      </c>
    </row>
    <row r="38" spans="1:15" ht="20.399999999999999">
      <c r="A38" s="140"/>
      <c r="B38" s="141">
        <v>27</v>
      </c>
      <c r="C38" s="5" t="s">
        <v>1138</v>
      </c>
      <c r="D38" s="141"/>
      <c r="E38" s="5" t="s">
        <v>1139</v>
      </c>
      <c r="F38" s="5" t="s">
        <v>1069</v>
      </c>
      <c r="G38" s="5" t="s">
        <v>1140</v>
      </c>
      <c r="H38" s="5"/>
      <c r="I38" s="5"/>
      <c r="J38" s="5"/>
      <c r="K38" s="5"/>
      <c r="L38" s="5"/>
      <c r="O38" s="143" t="str">
        <f t="shared" ca="1" si="0"/>
        <v>'LI','LT','LU','LV','MC','MD','ME','MK','MT','NL','NO','PL','PT','RO','RS','SE','SI','SJ','SK','SM','UA','UK','VA','XX','EU','##','_NA_'</v>
      </c>
    </row>
    <row r="39" spans="1:15" ht="20.399999999999999">
      <c r="A39" s="140"/>
      <c r="B39" s="141">
        <v>28</v>
      </c>
      <c r="C39" s="5" t="s">
        <v>1141</v>
      </c>
      <c r="D39" s="141"/>
      <c r="E39" s="5" t="s">
        <v>1142</v>
      </c>
      <c r="F39" s="5" t="s">
        <v>1069</v>
      </c>
      <c r="G39" s="5" t="s">
        <v>1143</v>
      </c>
      <c r="H39" s="5"/>
      <c r="I39" s="5"/>
      <c r="J39" s="5"/>
      <c r="K39" s="5"/>
      <c r="L39" s="5"/>
      <c r="O39" s="143" t="str">
        <f t="shared" ca="1" si="0"/>
        <v>'LT','LU','LV','MC','MD','ME','MK','MT','NL','NO','PL','PT','RO','RS','SE','SI','SJ','SK','SM','UA','UK','VA','XX','EU','##','_NA_'</v>
      </c>
    </row>
    <row r="40" spans="1:15" ht="20.399999999999999">
      <c r="A40" s="140"/>
      <c r="B40" s="141">
        <v>29</v>
      </c>
      <c r="C40" s="5" t="s">
        <v>1144</v>
      </c>
      <c r="D40" s="141"/>
      <c r="E40" s="5" t="s">
        <v>1145</v>
      </c>
      <c r="F40" s="5" t="s">
        <v>1069</v>
      </c>
      <c r="G40" s="5" t="s">
        <v>1146</v>
      </c>
      <c r="H40" s="5"/>
      <c r="I40" s="5"/>
      <c r="J40" s="5"/>
      <c r="K40" s="5"/>
      <c r="L40" s="5"/>
      <c r="O40" s="143" t="str">
        <f t="shared" ca="1" si="0"/>
        <v>'LU','LV','MC','MD','ME','MK','MT','NL','NO','PL','PT','RO','RS','SE','SI','SJ','SK','SM','UA','UK','VA','XX','EU','##','_NA_'</v>
      </c>
    </row>
    <row r="41" spans="1:15" ht="20.399999999999999">
      <c r="A41" s="140"/>
      <c r="B41" s="141">
        <v>30</v>
      </c>
      <c r="C41" s="5" t="s">
        <v>1147</v>
      </c>
      <c r="D41" s="141"/>
      <c r="E41" s="5" t="s">
        <v>1148</v>
      </c>
      <c r="F41" s="5" t="s">
        <v>1069</v>
      </c>
      <c r="G41" s="5" t="s">
        <v>1149</v>
      </c>
      <c r="H41" s="5"/>
      <c r="I41" s="5"/>
      <c r="J41" s="5"/>
      <c r="K41" s="5"/>
      <c r="L41" s="5"/>
      <c r="O41" s="143" t="str">
        <f t="shared" ca="1" si="0"/>
        <v>'LV','MC','MD','ME','MK','MT','NL','NO','PL','PT','RO','RS','SE','SI','SJ','SK','SM','UA','UK','VA','XX','EU','##','_NA_'</v>
      </c>
    </row>
    <row r="42" spans="1:15" ht="20.399999999999999">
      <c r="A42" s="140"/>
      <c r="B42" s="141">
        <v>31</v>
      </c>
      <c r="C42" s="5" t="s">
        <v>1150</v>
      </c>
      <c r="D42" s="141"/>
      <c r="E42" s="5" t="s">
        <v>1151</v>
      </c>
      <c r="F42" s="5" t="s">
        <v>1069</v>
      </c>
      <c r="G42" s="5" t="s">
        <v>1152</v>
      </c>
      <c r="H42" s="5"/>
      <c r="I42" s="5"/>
      <c r="J42" s="5"/>
      <c r="K42" s="5"/>
      <c r="L42" s="5"/>
      <c r="O42" s="143" t="str">
        <f t="shared" ca="1" si="0"/>
        <v>'MC','MD','ME','MK','MT','NL','NO','PL','PT','RO','RS','SE','SI','SJ','SK','SM','UA','UK','VA','XX','EU','##','_NA_'</v>
      </c>
    </row>
    <row r="43" spans="1:15" ht="20.399999999999999">
      <c r="A43" s="140"/>
      <c r="B43" s="141">
        <v>32</v>
      </c>
      <c r="C43" s="5" t="s">
        <v>1153</v>
      </c>
      <c r="D43" s="141"/>
      <c r="E43" s="5" t="s">
        <v>1154</v>
      </c>
      <c r="F43" s="5" t="s">
        <v>1069</v>
      </c>
      <c r="G43" s="5" t="s">
        <v>1155</v>
      </c>
      <c r="H43" s="5"/>
      <c r="I43" s="5"/>
      <c r="J43" s="5"/>
      <c r="K43" s="5"/>
      <c r="L43" s="5"/>
      <c r="O43" s="143" t="str">
        <f t="shared" ca="1" si="0"/>
        <v>'MD','ME','MK','MT','NL','NO','PL','PT','RO','RS','SE','SI','SJ','SK','SM','UA','UK','VA','XX','EU','##','_NA_'</v>
      </c>
    </row>
    <row r="44" spans="1:15" ht="20.399999999999999">
      <c r="A44" s="140"/>
      <c r="B44" s="141">
        <v>33</v>
      </c>
      <c r="C44" s="5" t="s">
        <v>1156</v>
      </c>
      <c r="D44" s="141"/>
      <c r="E44" s="5" t="s">
        <v>1157</v>
      </c>
      <c r="F44" s="5" t="s">
        <v>1069</v>
      </c>
      <c r="G44" s="5" t="s">
        <v>1158</v>
      </c>
      <c r="H44" s="5"/>
      <c r="I44" s="5"/>
      <c r="J44" s="5"/>
      <c r="K44" s="5"/>
      <c r="L44" s="5"/>
      <c r="O44" s="143" t="str">
        <f t="shared" ca="1" si="0"/>
        <v>'ME','MK','MT','NL','NO','PL','PT','RO','RS','SE','SI','SJ','SK','SM','UA','UK','VA','XX','EU','##','_NA_'</v>
      </c>
    </row>
    <row r="45" spans="1:15" ht="20.399999999999999">
      <c r="A45" s="140"/>
      <c r="B45" s="141">
        <v>34</v>
      </c>
      <c r="C45" s="5" t="s">
        <v>1159</v>
      </c>
      <c r="D45" s="141"/>
      <c r="E45" s="5" t="s">
        <v>1160</v>
      </c>
      <c r="F45" s="5" t="s">
        <v>1069</v>
      </c>
      <c r="G45" s="5" t="s">
        <v>1161</v>
      </c>
      <c r="H45" s="5"/>
      <c r="I45" s="5"/>
      <c r="J45" s="5"/>
      <c r="K45" s="5"/>
      <c r="L45" s="5"/>
      <c r="O45" s="143" t="str">
        <f t="shared" ca="1" si="0"/>
        <v>'MK','MT','NL','NO','PL','PT','RO','RS','SE','SI','SJ','SK','SM','UA','UK','VA','XX','EU','##','_NA_'</v>
      </c>
    </row>
    <row r="46" spans="1:15" ht="20.399999999999999">
      <c r="A46" s="140"/>
      <c r="B46" s="141">
        <v>35</v>
      </c>
      <c r="C46" s="5" t="s">
        <v>1162</v>
      </c>
      <c r="D46" s="141"/>
      <c r="E46" s="5" t="s">
        <v>1163</v>
      </c>
      <c r="F46" s="5" t="s">
        <v>1069</v>
      </c>
      <c r="G46" s="5" t="s">
        <v>1164</v>
      </c>
      <c r="H46" s="5"/>
      <c r="I46" s="5"/>
      <c r="J46" s="5"/>
      <c r="K46" s="5"/>
      <c r="L46" s="5"/>
      <c r="O46" s="143" t="str">
        <f t="shared" ca="1" si="0"/>
        <v>'MT','NL','NO','PL','PT','RO','RS','SE','SI','SJ','SK','SM','UA','UK','VA','XX','EU','##','_NA_'</v>
      </c>
    </row>
    <row r="47" spans="1:15" ht="20.399999999999999">
      <c r="A47" s="140"/>
      <c r="B47" s="141">
        <v>36</v>
      </c>
      <c r="C47" s="5" t="s">
        <v>1165</v>
      </c>
      <c r="D47" s="141"/>
      <c r="E47" s="5" t="s">
        <v>1166</v>
      </c>
      <c r="F47" s="5" t="s">
        <v>1069</v>
      </c>
      <c r="G47" s="5" t="s">
        <v>1167</v>
      </c>
      <c r="H47" s="5"/>
      <c r="I47" s="5"/>
      <c r="J47" s="5"/>
      <c r="K47" s="5"/>
      <c r="L47" s="5"/>
      <c r="O47" s="143" t="str">
        <f t="shared" ca="1" si="0"/>
        <v>'NL','NO','PL','PT','RO','RS','SE','SI','SJ','SK','SM','UA','UK','VA','XX','EU','##','_NA_'</v>
      </c>
    </row>
    <row r="48" spans="1:15" ht="20.399999999999999">
      <c r="A48" s="140"/>
      <c r="B48" s="141">
        <v>37</v>
      </c>
      <c r="C48" s="5" t="s">
        <v>1168</v>
      </c>
      <c r="D48" s="141"/>
      <c r="E48" s="5" t="s">
        <v>1169</v>
      </c>
      <c r="F48" s="5" t="s">
        <v>1069</v>
      </c>
      <c r="G48" s="5" t="s">
        <v>1170</v>
      </c>
      <c r="H48" s="5"/>
      <c r="I48" s="5"/>
      <c r="J48" s="5"/>
      <c r="K48" s="5"/>
      <c r="L48" s="5"/>
      <c r="O48" s="143" t="str">
        <f t="shared" ca="1" si="0"/>
        <v>'NO','PL','PT','RO','RS','SE','SI','SJ','SK','SM','UA','UK','VA','XX','EU','##','_NA_'</v>
      </c>
    </row>
    <row r="49" spans="1:15" ht="20.399999999999999">
      <c r="A49" s="140"/>
      <c r="B49" s="141">
        <v>38</v>
      </c>
      <c r="C49" s="5" t="s">
        <v>343</v>
      </c>
      <c r="D49" s="141"/>
      <c r="E49" s="5" t="s">
        <v>1171</v>
      </c>
      <c r="F49" s="5" t="s">
        <v>1069</v>
      </c>
      <c r="G49" s="5" t="s">
        <v>1172</v>
      </c>
      <c r="H49" s="5"/>
      <c r="I49" s="5"/>
      <c r="J49" s="5"/>
      <c r="K49" s="5"/>
      <c r="L49" s="5"/>
      <c r="O49" s="143" t="str">
        <f t="shared" ca="1" si="0"/>
        <v>'PL','PT','RO','RS','SE','SI','SJ','SK','SM','UA','UK','VA','XX','EU','##','_NA_'</v>
      </c>
    </row>
    <row r="50" spans="1:15" ht="20.399999999999999">
      <c r="A50" s="140"/>
      <c r="B50" s="141">
        <v>39</v>
      </c>
      <c r="C50" s="5" t="s">
        <v>1173</v>
      </c>
      <c r="D50" s="141"/>
      <c r="E50" s="5" t="s">
        <v>1174</v>
      </c>
      <c r="F50" s="5" t="s">
        <v>1069</v>
      </c>
      <c r="G50" s="5" t="s">
        <v>1175</v>
      </c>
      <c r="H50" s="5"/>
      <c r="I50" s="5"/>
      <c r="J50" s="5"/>
      <c r="K50" s="5"/>
      <c r="L50" s="5"/>
      <c r="O50" s="143" t="str">
        <f t="shared" ca="1" si="0"/>
        <v>'PT','RO','RS','SE','SI','SJ','SK','SM','UA','UK','VA','XX','EU','##','_NA_'</v>
      </c>
    </row>
    <row r="51" spans="1:15" ht="20.399999999999999">
      <c r="A51" s="140"/>
      <c r="B51" s="141">
        <v>40</v>
      </c>
      <c r="C51" s="5" t="s">
        <v>1176</v>
      </c>
      <c r="D51" s="141"/>
      <c r="E51" s="5" t="s">
        <v>1177</v>
      </c>
      <c r="F51" s="5" t="s">
        <v>1069</v>
      </c>
      <c r="G51" s="5" t="s">
        <v>1178</v>
      </c>
      <c r="H51" s="5"/>
      <c r="I51" s="5"/>
      <c r="J51" s="5"/>
      <c r="K51" s="5"/>
      <c r="L51" s="5"/>
      <c r="O51" s="143" t="str">
        <f t="shared" ca="1" si="0"/>
        <v>'RO','RS','SE','SI','SJ','SK','SM','UA','UK','VA','XX','EU','##','_NA_'</v>
      </c>
    </row>
    <row r="52" spans="1:15" ht="20.399999999999999">
      <c r="A52" s="140"/>
      <c r="B52" s="141">
        <v>41</v>
      </c>
      <c r="C52" s="5" t="s">
        <v>347</v>
      </c>
      <c r="D52" s="141"/>
      <c r="E52" s="5" t="s">
        <v>1179</v>
      </c>
      <c r="F52" s="5" t="s">
        <v>1069</v>
      </c>
      <c r="G52" s="5" t="s">
        <v>1180</v>
      </c>
      <c r="H52" s="5"/>
      <c r="I52" s="5"/>
      <c r="J52" s="5"/>
      <c r="K52" s="5"/>
      <c r="L52" s="5"/>
      <c r="O52" s="143" t="str">
        <f t="shared" ca="1" si="0"/>
        <v>'RS','SE','SI','SJ','SK','SM','UA','UK','VA','XX','EU','##','_NA_'</v>
      </c>
    </row>
    <row r="53" spans="1:15" ht="20.399999999999999">
      <c r="A53" s="140"/>
      <c r="B53" s="141">
        <v>42</v>
      </c>
      <c r="C53" s="5" t="s">
        <v>346</v>
      </c>
      <c r="D53" s="141"/>
      <c r="E53" s="5" t="s">
        <v>1181</v>
      </c>
      <c r="F53" s="5" t="s">
        <v>1069</v>
      </c>
      <c r="G53" s="5" t="s">
        <v>1182</v>
      </c>
      <c r="H53" s="5"/>
      <c r="I53" s="5"/>
      <c r="J53" s="5"/>
      <c r="K53" s="5"/>
      <c r="L53" s="5"/>
      <c r="O53" s="143" t="str">
        <f t="shared" ca="1" si="0"/>
        <v>'SE','SI','SJ','SK','SM','UA','UK','VA','XX','EU','##','_NA_'</v>
      </c>
    </row>
    <row r="54" spans="1:15" ht="20.399999999999999">
      <c r="A54" s="140"/>
      <c r="B54" s="141">
        <v>43</v>
      </c>
      <c r="C54" s="5" t="s">
        <v>358</v>
      </c>
      <c r="D54" s="141"/>
      <c r="E54" s="5" t="s">
        <v>1183</v>
      </c>
      <c r="F54" s="5" t="s">
        <v>1069</v>
      </c>
      <c r="G54" s="5" t="s">
        <v>1184</v>
      </c>
      <c r="H54" s="5"/>
      <c r="I54" s="5"/>
      <c r="J54" s="5"/>
      <c r="K54" s="5"/>
      <c r="L54" s="5"/>
      <c r="O54" s="143" t="str">
        <f t="shared" ca="1" si="0"/>
        <v>'SI','SJ','SK','SM','UA','UK','VA','XX','EU','##','_NA_'</v>
      </c>
    </row>
    <row r="55" spans="1:15" ht="20.399999999999999">
      <c r="A55" s="140"/>
      <c r="B55" s="141">
        <v>44</v>
      </c>
      <c r="C55" s="5" t="s">
        <v>1185</v>
      </c>
      <c r="D55" s="141"/>
      <c r="E55" s="5" t="s">
        <v>1186</v>
      </c>
      <c r="F55" s="5" t="s">
        <v>1069</v>
      </c>
      <c r="G55" s="5" t="s">
        <v>1187</v>
      </c>
      <c r="H55" s="5"/>
      <c r="I55" s="5"/>
      <c r="J55" s="5"/>
      <c r="K55" s="5"/>
      <c r="L55" s="5"/>
      <c r="O55" s="143" t="str">
        <f t="shared" ca="1" si="0"/>
        <v>'SJ','SK','SM','UA','UK','VA','XX','EU','##','_NA_'</v>
      </c>
    </row>
    <row r="56" spans="1:15" ht="20.399999999999999">
      <c r="A56" s="140"/>
      <c r="B56" s="141">
        <v>45</v>
      </c>
      <c r="C56" s="5" t="s">
        <v>1188</v>
      </c>
      <c r="D56" s="141"/>
      <c r="E56" s="5" t="s">
        <v>1189</v>
      </c>
      <c r="F56" s="5" t="s">
        <v>1069</v>
      </c>
      <c r="G56" s="5" t="s">
        <v>1190</v>
      </c>
      <c r="H56" s="5"/>
      <c r="I56" s="5"/>
      <c r="J56" s="5"/>
      <c r="K56" s="5"/>
      <c r="L56" s="5"/>
      <c r="O56" s="143" t="str">
        <f t="shared" ca="1" si="0"/>
        <v>'SK','SM','UA','UK','VA','XX','EU','##','_NA_'</v>
      </c>
    </row>
    <row r="57" spans="1:15" ht="20.399999999999999">
      <c r="A57" s="140"/>
      <c r="B57" s="141">
        <v>46</v>
      </c>
      <c r="C57" s="5" t="s">
        <v>1191</v>
      </c>
      <c r="D57" s="141"/>
      <c r="E57" s="5" t="s">
        <v>1192</v>
      </c>
      <c r="F57" s="5" t="s">
        <v>1069</v>
      </c>
      <c r="G57" s="5" t="s">
        <v>1193</v>
      </c>
      <c r="H57" s="5"/>
      <c r="I57" s="5"/>
      <c r="J57" s="5"/>
      <c r="K57" s="5"/>
      <c r="L57" s="5"/>
      <c r="O57" s="143" t="str">
        <f t="shared" ca="1" si="0"/>
        <v>'SM','UA','UK','VA','XX','EU','##','_NA_'</v>
      </c>
    </row>
    <row r="58" spans="1:15" ht="20.399999999999999">
      <c r="A58" s="140"/>
      <c r="B58" s="141">
        <v>47</v>
      </c>
      <c r="C58" s="5" t="s">
        <v>1194</v>
      </c>
      <c r="D58" s="141"/>
      <c r="E58" s="5" t="s">
        <v>1195</v>
      </c>
      <c r="F58" s="5" t="s">
        <v>1069</v>
      </c>
      <c r="G58" s="5" t="s">
        <v>1196</v>
      </c>
      <c r="H58" s="5"/>
      <c r="I58" s="5"/>
      <c r="J58" s="5"/>
      <c r="K58" s="5"/>
      <c r="L58" s="5"/>
      <c r="O58" s="143" t="str">
        <f t="shared" ca="1" si="0"/>
        <v>'UA','UK','VA','XX','EU','##','_NA_'</v>
      </c>
    </row>
    <row r="59" spans="1:15" ht="20.399999999999999">
      <c r="A59" s="140"/>
      <c r="B59" s="141">
        <v>48</v>
      </c>
      <c r="C59" s="5" t="s">
        <v>1197</v>
      </c>
      <c r="D59" s="141"/>
      <c r="E59" s="5" t="s">
        <v>1117</v>
      </c>
      <c r="F59" s="5" t="s">
        <v>1118</v>
      </c>
      <c r="G59" s="5" t="s">
        <v>1119</v>
      </c>
      <c r="H59" s="5"/>
      <c r="I59" s="5"/>
      <c r="J59" s="5"/>
      <c r="K59" s="5"/>
      <c r="L59" s="5"/>
      <c r="O59" s="143" t="str">
        <f t="shared" ca="1" si="0"/>
        <v>'UK','VA','XX','EU','##','_NA_'</v>
      </c>
    </row>
    <row r="60" spans="1:15" ht="20.399999999999999">
      <c r="A60" s="140"/>
      <c r="B60" s="141">
        <v>49</v>
      </c>
      <c r="C60" s="5" t="s">
        <v>1198</v>
      </c>
      <c r="D60" s="141"/>
      <c r="E60" s="5" t="s">
        <v>1199</v>
      </c>
      <c r="F60" s="5" t="s">
        <v>1069</v>
      </c>
      <c r="G60" s="5" t="s">
        <v>1200</v>
      </c>
      <c r="H60" s="5"/>
      <c r="I60" s="5"/>
      <c r="J60" s="5"/>
      <c r="K60" s="5"/>
      <c r="L60" s="5"/>
      <c r="O60" s="143" t="str">
        <f t="shared" ca="1" si="0"/>
        <v>'VA','XX','EU','##','_NA_'</v>
      </c>
    </row>
    <row r="61" spans="1:15">
      <c r="A61" s="140"/>
      <c r="B61" s="141">
        <v>50</v>
      </c>
      <c r="C61" s="5" t="s">
        <v>1201</v>
      </c>
      <c r="D61" s="141"/>
      <c r="E61" s="5" t="s">
        <v>1202</v>
      </c>
      <c r="F61" s="5" t="s">
        <v>1202</v>
      </c>
      <c r="G61" s="5" t="s">
        <v>1203</v>
      </c>
      <c r="H61" s="5"/>
      <c r="I61" s="5"/>
      <c r="J61" s="5"/>
      <c r="K61" s="5"/>
      <c r="L61" s="5"/>
      <c r="O61" s="143" t="str">
        <f t="shared" ca="1" si="0"/>
        <v>'XX','EU','##','_NA_'</v>
      </c>
    </row>
    <row r="62" spans="1:15">
      <c r="A62" s="140"/>
      <c r="B62" s="141">
        <v>51</v>
      </c>
      <c r="C62" s="5" t="s">
        <v>1204</v>
      </c>
      <c r="D62" s="141"/>
      <c r="E62" s="5" t="s">
        <v>1205</v>
      </c>
      <c r="F62" s="5" t="s">
        <v>1205</v>
      </c>
      <c r="G62" s="5" t="s">
        <v>1206</v>
      </c>
      <c r="H62" s="5"/>
      <c r="I62" s="5"/>
      <c r="J62" s="5"/>
      <c r="K62" s="5"/>
      <c r="L62" s="5"/>
      <c r="O62" s="143" t="str">
        <f t="shared" ca="1" si="0"/>
        <v>'EU','##','_NA_'</v>
      </c>
    </row>
    <row r="63" spans="1:15">
      <c r="A63" s="140"/>
      <c r="B63" s="141">
        <v>52</v>
      </c>
      <c r="C63" s="5" t="s">
        <v>340</v>
      </c>
      <c r="D63" s="141"/>
      <c r="E63" s="5" t="s">
        <v>1207</v>
      </c>
      <c r="F63" s="5" t="s">
        <v>1207</v>
      </c>
      <c r="G63" s="5" t="s">
        <v>1208</v>
      </c>
      <c r="H63" s="5"/>
      <c r="I63" s="5"/>
      <c r="J63" s="5"/>
      <c r="K63" s="5"/>
      <c r="L63" s="5"/>
      <c r="O63" s="143" t="str">
        <f t="shared" ca="1" si="0"/>
        <v>'##','_NA_'</v>
      </c>
    </row>
    <row r="64" spans="1:15">
      <c r="A64" s="140"/>
      <c r="B64" s="141">
        <v>53</v>
      </c>
      <c r="C64" s="5" t="s">
        <v>41</v>
      </c>
      <c r="D64" s="141"/>
      <c r="E64" s="5" t="s">
        <v>1051</v>
      </c>
      <c r="F64" s="5" t="s">
        <v>1052</v>
      </c>
      <c r="G64" s="5"/>
      <c r="H64" s="5"/>
      <c r="I64" s="5" t="s">
        <v>1053</v>
      </c>
      <c r="J64" s="5" t="s">
        <v>1054</v>
      </c>
      <c r="K64" s="5"/>
      <c r="L64" s="5"/>
      <c r="O64" s="143" t="str">
        <f t="shared" ca="1" si="0"/>
        <v>'_NA_'</v>
      </c>
    </row>
    <row r="65" spans="1:15" ht="19.5" customHeight="1">
      <c r="A65" s="133" t="s">
        <v>2143</v>
      </c>
      <c r="B65" s="134"/>
      <c r="C65" s="135"/>
      <c r="D65" s="136">
        <v>4</v>
      </c>
      <c r="E65" s="137" t="s">
        <v>2144</v>
      </c>
      <c r="F65" s="137"/>
      <c r="G65" s="137"/>
      <c r="H65" s="137"/>
      <c r="I65" s="137" t="s">
        <v>2145</v>
      </c>
      <c r="J65" s="137"/>
      <c r="K65" s="137"/>
      <c r="L65" s="137"/>
      <c r="M65" s="138" t="str">
        <f>"Pre-defined codes:"</f>
        <v>Pre-defined codes:</v>
      </c>
      <c r="N65" s="138" t="str">
        <f>"festgelegte Codes:"</f>
        <v>festgelegte Codes:</v>
      </c>
      <c r="O65" s="143" t="str">
        <f t="shared" ca="1" si="0"/>
        <v/>
      </c>
    </row>
    <row r="66" spans="1:15" ht="20.399999999999999">
      <c r="A66" s="140"/>
      <c r="B66" s="141">
        <v>1</v>
      </c>
      <c r="C66" s="5" t="s">
        <v>2146</v>
      </c>
      <c r="D66" s="141"/>
      <c r="E66" s="5" t="s">
        <v>2147</v>
      </c>
      <c r="F66" s="5" t="s">
        <v>2148</v>
      </c>
      <c r="G66" s="5"/>
      <c r="H66" s="5"/>
      <c r="I66" s="5" t="s">
        <v>2149</v>
      </c>
      <c r="J66" s="5" t="s">
        <v>2150</v>
      </c>
      <c r="K66" s="5"/>
      <c r="L66" s="5"/>
      <c r="M66" t="str">
        <f>""""&amp;$C66&amp;""": "&amp;$E66&amp;IF(F66&lt;&gt;""," / "&amp;F66,"")</f>
        <v>"SUH": Single-unit housing / 1 or 2 dwellings, terraced houses included</v>
      </c>
      <c r="N66" t="str">
        <f>""""&amp;$C66&amp;""": "&amp;$I66&amp;IF(J66&lt;&gt;""," / "&amp;J66,"")</f>
        <v>"SUH": Einfamilienhaus / 1 oder 2 Wohneinheiten</v>
      </c>
      <c r="O66" s="143" t="str">
        <f t="shared" ca="1" si="0"/>
        <v>'SUH','MUH','Other','_NA_'</v>
      </c>
    </row>
    <row r="67" spans="1:15">
      <c r="A67" s="140"/>
      <c r="B67" s="141">
        <v>2</v>
      </c>
      <c r="C67" s="5" t="s">
        <v>80</v>
      </c>
      <c r="D67" s="141"/>
      <c r="E67" s="5" t="s">
        <v>2151</v>
      </c>
      <c r="F67" s="5" t="s">
        <v>2152</v>
      </c>
      <c r="G67" s="5"/>
      <c r="H67" s="5"/>
      <c r="I67" s="5" t="s">
        <v>2153</v>
      </c>
      <c r="J67" s="5" t="s">
        <v>2154</v>
      </c>
      <c r="K67" s="5"/>
      <c r="L67" s="5"/>
      <c r="M67" t="str">
        <f t="shared" ref="M67:M68" si="5">""""&amp;$C67&amp;""": "&amp;$E67&amp;IF(F67&lt;&gt;""," / "&amp;F67,"")</f>
        <v>"MUH": Multi-unit housing / 3 and more dwellings</v>
      </c>
      <c r="N67" t="str">
        <f t="shared" ref="N67:N68" si="6">""""&amp;$C67&amp;""": "&amp;$I67&amp;IF(J67&lt;&gt;""," / "&amp;J67,"")</f>
        <v>"MUH": Mehfamilienhaus / 3 und mehr Wohneinheiten</v>
      </c>
      <c r="O67" s="143" t="str">
        <f t="shared" ca="1" si="0"/>
        <v>'MUH','Other','_NA_'</v>
      </c>
    </row>
    <row r="68" spans="1:15">
      <c r="A68" s="140"/>
      <c r="B68" s="141">
        <v>3</v>
      </c>
      <c r="C68" s="5" t="s">
        <v>1478</v>
      </c>
      <c r="D68" s="141"/>
      <c r="E68" s="5" t="s">
        <v>1478</v>
      </c>
      <c r="F68" s="5"/>
      <c r="G68" s="5"/>
      <c r="H68" s="5"/>
      <c r="I68" s="5" t="s">
        <v>1479</v>
      </c>
      <c r="J68" s="5"/>
      <c r="K68" s="5"/>
      <c r="L68" s="5"/>
      <c r="M68" t="str">
        <f t="shared" si="5"/>
        <v>"Other": Other</v>
      </c>
      <c r="N68" t="str">
        <f t="shared" si="6"/>
        <v>"Other": andere</v>
      </c>
      <c r="O68" s="143" t="str">
        <f t="shared" ca="1" si="0"/>
        <v>'Other','_NA_'</v>
      </c>
    </row>
    <row r="69" spans="1:15">
      <c r="A69" s="140"/>
      <c r="B69" s="141">
        <v>4</v>
      </c>
      <c r="C69" s="5" t="s">
        <v>41</v>
      </c>
      <c r="D69" s="141"/>
      <c r="E69" s="5" t="s">
        <v>1051</v>
      </c>
      <c r="F69" s="5" t="s">
        <v>1052</v>
      </c>
      <c r="G69" s="5"/>
      <c r="H69" s="5"/>
      <c r="I69" s="5" t="s">
        <v>1053</v>
      </c>
      <c r="J69" s="5" t="s">
        <v>1248</v>
      </c>
      <c r="K69" s="5"/>
      <c r="L69" s="5"/>
      <c r="M69" t="str">
        <f>""""&amp;$C69&amp;""": "&amp;$E69&amp;IF(F69&lt;&gt;""," / "&amp;F69,"")</f>
        <v>"_NA_": N/A / not available / not applicable</v>
      </c>
      <c r="N69" t="str">
        <f>""""&amp;$C69&amp;""": "&amp;$I69&amp;IF(J69&lt;&gt;""," / "&amp;J69,"")</f>
        <v>"_NA_": k.A. / keine Angaben / unbekannt</v>
      </c>
      <c r="O69" s="143" t="str">
        <f t="shared" ca="1" si="0"/>
        <v>'_NA_'</v>
      </c>
    </row>
    <row r="70" spans="1:15" ht="19.5" customHeight="1">
      <c r="A70" s="133" t="s">
        <v>1209</v>
      </c>
      <c r="B70" s="134"/>
      <c r="C70" s="135"/>
      <c r="D70" s="136">
        <v>10</v>
      </c>
      <c r="E70" s="137" t="s">
        <v>1210</v>
      </c>
      <c r="F70" s="137"/>
      <c r="G70" s="137"/>
      <c r="H70" s="137"/>
      <c r="I70" s="137" t="s">
        <v>1211</v>
      </c>
      <c r="J70" s="137"/>
      <c r="K70" s="137"/>
      <c r="L70" s="137"/>
      <c r="M70" s="138" t="str">
        <f>"Pre-defined codes:"</f>
        <v>Pre-defined codes:</v>
      </c>
      <c r="N70" s="138" t="str">
        <f>"festgelegte Codes:"</f>
        <v>festgelegte Codes:</v>
      </c>
      <c r="O70" s="143" t="str">
        <f t="shared" ca="1" si="0"/>
        <v/>
      </c>
    </row>
    <row r="71" spans="1:15">
      <c r="A71" s="140"/>
      <c r="B71" s="141">
        <v>1</v>
      </c>
      <c r="C71" s="5" t="s">
        <v>1212</v>
      </c>
      <c r="D71" s="141"/>
      <c r="E71" s="5" t="s">
        <v>1213</v>
      </c>
      <c r="F71" s="5"/>
      <c r="G71" s="5"/>
      <c r="H71" s="5"/>
      <c r="I71" s="5" t="s">
        <v>1214</v>
      </c>
      <c r="J71" s="5"/>
      <c r="K71" s="5"/>
      <c r="L71" s="5"/>
      <c r="M71" t="str">
        <f>""""&amp;$C71&amp;""": "&amp;$E71&amp;IF(F71&lt;&gt;""," / "&amp;F71,"")</f>
        <v>"A_C_ExtDim": Conditioned gross floor area</v>
      </c>
      <c r="N71" t="str">
        <f>""""&amp;$C71&amp;""": "&amp;$I71&amp;IF(J71&lt;&gt;""," / "&amp;J71,"")</f>
        <v>"A_C_ExtDim": beheizte Bruttogrundfläche</v>
      </c>
      <c r="O71" s="143" t="str">
        <f t="shared" ca="1" si="0"/>
        <v>'A_C_ExtDim','A_C_IntDim','A_C_Use','A_C_Living','A_C_Ref','_NA_'</v>
      </c>
    </row>
    <row r="72" spans="1:15">
      <c r="A72" s="140"/>
      <c r="B72" s="141">
        <v>2</v>
      </c>
      <c r="C72" s="5" t="s">
        <v>1215</v>
      </c>
      <c r="D72" s="141"/>
      <c r="E72" s="5" t="s">
        <v>1216</v>
      </c>
      <c r="F72" s="5"/>
      <c r="G72" s="5"/>
      <c r="H72" s="5"/>
      <c r="I72" s="5" t="s">
        <v>1217</v>
      </c>
      <c r="J72" s="5"/>
      <c r="K72" s="5"/>
      <c r="L72" s="5"/>
      <c r="M72" t="str">
        <f t="shared" ref="M72:M80" si="7">""""&amp;$C72&amp;""": "&amp;$E72&amp;IF(F72&lt;&gt;""," / "&amp;F72,"")</f>
        <v>"A_C_IntDim": Conditioned net floor area</v>
      </c>
      <c r="N72" t="str">
        <f t="shared" ref="N72:N80" si="8">""""&amp;$C72&amp;""": "&amp;$I72&amp;IF(J72&lt;&gt;""," / "&amp;J72,"")</f>
        <v>"A_C_IntDim": beheizte Nettogrundfläche</v>
      </c>
      <c r="O72" s="143" t="str">
        <f t="shared" ref="O72:O156" ca="1" si="9">IF(C72&lt;&gt;"","'"&amp;C72&amp;"'"&amp;IF(OFFSET(O72,1,0)&lt;&gt;"",","&amp;OFFSET(O72,1,0),""),"")</f>
        <v>'A_C_IntDim','A_C_Use','A_C_Living','A_C_Ref','_NA_'</v>
      </c>
    </row>
    <row r="73" spans="1:15">
      <c r="A73" s="140"/>
      <c r="B73" s="141">
        <v>3</v>
      </c>
      <c r="C73" s="5" t="s">
        <v>1218</v>
      </c>
      <c r="D73" s="141"/>
      <c r="E73" s="5" t="s">
        <v>1219</v>
      </c>
      <c r="F73" s="5"/>
      <c r="G73" s="5"/>
      <c r="H73" s="5"/>
      <c r="I73" s="5" t="s">
        <v>1220</v>
      </c>
      <c r="J73" s="5"/>
      <c r="K73" s="5"/>
      <c r="L73" s="5"/>
      <c r="M73" t="str">
        <f t="shared" si="7"/>
        <v>"A_C_Use": Conditioned useful floor area</v>
      </c>
      <c r="N73" t="str">
        <f t="shared" si="8"/>
        <v>"A_C_Use": beheizte Nutzfläche</v>
      </c>
      <c r="O73" s="143" t="str">
        <f t="shared" ca="1" si="9"/>
        <v>'A_C_Use','A_C_Living','A_C_Ref','_NA_'</v>
      </c>
    </row>
    <row r="74" spans="1:15">
      <c r="A74" s="140"/>
      <c r="B74" s="141">
        <v>4</v>
      </c>
      <c r="C74" s="5" t="s">
        <v>1221</v>
      </c>
      <c r="D74" s="141"/>
      <c r="E74" s="5" t="s">
        <v>1222</v>
      </c>
      <c r="F74" s="5"/>
      <c r="G74" s="5"/>
      <c r="H74" s="5"/>
      <c r="I74" s="5" t="s">
        <v>1223</v>
      </c>
      <c r="J74" s="5"/>
      <c r="K74" s="5"/>
      <c r="L74" s="5"/>
      <c r="M74" t="str">
        <f t="shared" si="7"/>
        <v>"A_C_Living": Conditioned living area</v>
      </c>
      <c r="N74" t="str">
        <f t="shared" si="8"/>
        <v>"A_C_Living": beheizte Wohnfläche</v>
      </c>
      <c r="O74" s="143" t="str">
        <f t="shared" ca="1" si="9"/>
        <v>'A_C_Living','A_C_Ref','_NA_'</v>
      </c>
    </row>
    <row r="75" spans="1:15">
      <c r="A75" s="140"/>
      <c r="B75" s="141">
        <v>5</v>
      </c>
      <c r="C75" s="5" t="s">
        <v>1224</v>
      </c>
      <c r="D75" s="141"/>
      <c r="E75" s="5" t="s">
        <v>1225</v>
      </c>
      <c r="F75" s="5"/>
      <c r="G75" s="5"/>
      <c r="H75" s="5"/>
      <c r="I75" s="5" t="s">
        <v>1226</v>
      </c>
      <c r="J75" s="5"/>
      <c r="K75" s="5"/>
      <c r="L75" s="5"/>
      <c r="M75" t="str">
        <f t="shared" si="7"/>
        <v>"A_C_Ref": TABULA reference floor area</v>
      </c>
      <c r="N75" t="str">
        <f t="shared" si="8"/>
        <v>"A_C_Ref": TABULA Referenzfläche</v>
      </c>
      <c r="O75" s="143" t="str">
        <f t="shared" ca="1" si="9"/>
        <v>'A_C_Ref','_NA_'</v>
      </c>
    </row>
    <row r="76" spans="1:15">
      <c r="A76" s="140"/>
      <c r="B76" s="141">
        <v>6</v>
      </c>
      <c r="C76" s="5" t="s">
        <v>41</v>
      </c>
      <c r="D76" s="141"/>
      <c r="E76" s="5" t="s">
        <v>1051</v>
      </c>
      <c r="F76" s="5" t="s">
        <v>1052</v>
      </c>
      <c r="G76" s="5"/>
      <c r="H76" s="5"/>
      <c r="I76" s="5" t="s">
        <v>1053</v>
      </c>
      <c r="J76" s="5" t="s">
        <v>1054</v>
      </c>
      <c r="K76" s="5"/>
      <c r="L76" s="5"/>
      <c r="M76" t="str">
        <f t="shared" si="7"/>
        <v>"_NA_": N/A / not available / not applicable</v>
      </c>
      <c r="N76" t="str">
        <f t="shared" si="8"/>
        <v>"_NA_": k.A. / keine Angaben</v>
      </c>
      <c r="O76" s="143" t="str">
        <f t="shared" ca="1" si="9"/>
        <v>'_NA_'</v>
      </c>
    </row>
    <row r="77" spans="1:15">
      <c r="A77" s="140"/>
      <c r="B77" s="141">
        <v>7</v>
      </c>
      <c r="C77" s="5"/>
      <c r="D77" s="141"/>
      <c r="E77" s="5"/>
      <c r="F77" s="5"/>
      <c r="G77" s="5"/>
      <c r="H77" s="5"/>
      <c r="I77" s="5"/>
      <c r="J77" s="5"/>
      <c r="K77" s="5"/>
      <c r="L77" s="5"/>
      <c r="M77" t="str">
        <f t="shared" si="7"/>
        <v xml:space="preserve">"": </v>
      </c>
      <c r="N77" t="str">
        <f t="shared" si="8"/>
        <v xml:space="preserve">"": </v>
      </c>
      <c r="O77" s="143" t="str">
        <f t="shared" ca="1" si="9"/>
        <v/>
      </c>
    </row>
    <row r="78" spans="1:15">
      <c r="A78" s="140"/>
      <c r="B78" s="141">
        <v>8</v>
      </c>
      <c r="C78" s="5"/>
      <c r="D78" s="141"/>
      <c r="E78" s="5"/>
      <c r="F78" s="5"/>
      <c r="G78" s="5"/>
      <c r="H78" s="5"/>
      <c r="I78" s="5"/>
      <c r="J78" s="5"/>
      <c r="K78" s="5"/>
      <c r="L78" s="5"/>
      <c r="M78" t="str">
        <f t="shared" si="7"/>
        <v xml:space="preserve">"": </v>
      </c>
      <c r="N78" t="str">
        <f t="shared" si="8"/>
        <v xml:space="preserve">"": </v>
      </c>
      <c r="O78" s="143" t="str">
        <f t="shared" ca="1" si="9"/>
        <v/>
      </c>
    </row>
    <row r="79" spans="1:15">
      <c r="A79" s="140"/>
      <c r="B79" s="141">
        <v>9</v>
      </c>
      <c r="C79" s="5"/>
      <c r="D79" s="141"/>
      <c r="E79" s="5"/>
      <c r="F79" s="5"/>
      <c r="G79" s="5"/>
      <c r="H79" s="5"/>
      <c r="I79" s="5"/>
      <c r="J79" s="5"/>
      <c r="K79" s="5"/>
      <c r="L79" s="5"/>
      <c r="M79" t="str">
        <f t="shared" si="7"/>
        <v xml:space="preserve">"": </v>
      </c>
      <c r="N79" t="str">
        <f t="shared" si="8"/>
        <v xml:space="preserve">"": </v>
      </c>
      <c r="O79" s="143" t="str">
        <f t="shared" ca="1" si="9"/>
        <v/>
      </c>
    </row>
    <row r="80" spans="1:15">
      <c r="A80" s="140"/>
      <c r="B80" s="141">
        <v>10</v>
      </c>
      <c r="C80" s="5"/>
      <c r="D80" s="141"/>
      <c r="E80" s="5"/>
      <c r="F80" s="5"/>
      <c r="G80" s="5"/>
      <c r="H80" s="5"/>
      <c r="I80" s="5"/>
      <c r="J80" s="5"/>
      <c r="K80" s="5"/>
      <c r="L80" s="5"/>
      <c r="M80" t="str">
        <f t="shared" si="7"/>
        <v xml:space="preserve">"": </v>
      </c>
      <c r="N80" t="str">
        <f t="shared" si="8"/>
        <v xml:space="preserve">"": </v>
      </c>
      <c r="O80" s="143" t="str">
        <f t="shared" ca="1" si="9"/>
        <v/>
      </c>
    </row>
    <row r="81" spans="1:15" ht="19.5" customHeight="1">
      <c r="A81" s="133" t="s">
        <v>1227</v>
      </c>
      <c r="B81" s="134"/>
      <c r="C81" s="135"/>
      <c r="D81" s="136">
        <v>2</v>
      </c>
      <c r="E81" s="137" t="s">
        <v>1228</v>
      </c>
      <c r="F81" s="137"/>
      <c r="G81" s="137"/>
      <c r="H81" s="137"/>
      <c r="I81" s="137" t="s">
        <v>1229</v>
      </c>
      <c r="J81" s="137"/>
      <c r="K81" s="137"/>
      <c r="L81" s="137"/>
      <c r="M81" s="138" t="str">
        <f>"Pre-defined codes:"</f>
        <v>Pre-defined codes:</v>
      </c>
      <c r="N81" s="138" t="str">
        <f>"festgelegte Codes:"</f>
        <v>festgelegte Codes:</v>
      </c>
      <c r="O81" s="143" t="str">
        <f t="shared" ca="1" si="9"/>
        <v/>
      </c>
    </row>
    <row r="82" spans="1:15" ht="20.399999999999999">
      <c r="A82" s="140"/>
      <c r="B82" s="141">
        <v>1</v>
      </c>
      <c r="C82" s="5" t="s">
        <v>1230</v>
      </c>
      <c r="D82" s="141"/>
      <c r="E82" s="5" t="s">
        <v>1231</v>
      </c>
      <c r="F82" s="5"/>
      <c r="G82" s="5"/>
      <c r="H82" s="5"/>
      <c r="I82" s="5" t="s">
        <v>1232</v>
      </c>
      <c r="J82" s="5"/>
      <c r="K82" s="5"/>
      <c r="L82" s="5"/>
      <c r="M82" t="str">
        <f>""""&amp;$C82&amp;""": "&amp;$E82&amp;IF(F82&lt;&gt;""," / "&amp;F82,"")</f>
        <v>"Building": the whole building (conditioned floor area)</v>
      </c>
      <c r="N82" t="str">
        <f>""""&amp;$C82&amp;""": "&amp;$I82&amp;IF(J82&lt;&gt;""," / "&amp;J82,"")</f>
        <v>"Building": des gesamten Gebäudes</v>
      </c>
      <c r="O82" s="143" t="str">
        <f t="shared" ca="1" si="9"/>
        <v>'Building','Storey'</v>
      </c>
    </row>
    <row r="83" spans="1:15" ht="20.399999999999999">
      <c r="A83" s="140"/>
      <c r="B83" s="141">
        <v>2</v>
      </c>
      <c r="C83" s="5" t="s">
        <v>1233</v>
      </c>
      <c r="D83" s="141"/>
      <c r="E83" s="5" t="s">
        <v>1234</v>
      </c>
      <c r="F83" s="5"/>
      <c r="G83" s="5"/>
      <c r="H83" s="5"/>
      <c r="I83" s="5" t="s">
        <v>1235</v>
      </c>
      <c r="J83" s="5"/>
      <c r="K83" s="5"/>
      <c r="L83" s="5"/>
      <c r="M83" t="str">
        <f t="shared" ref="M83" si="10">""""&amp;$C83&amp;""": "&amp;$E83&amp;IF(F83&lt;&gt;""," / "&amp;F83,"")</f>
        <v>"Storey": "Storey": one storey (basement / footprint of the building)</v>
      </c>
      <c r="N83" t="str">
        <f t="shared" ref="N83" si="11">""""&amp;$C83&amp;""": "&amp;$I83&amp;IF(J83&lt;&gt;""," / "&amp;J83,"")</f>
        <v>"Storey": pro Vollgeschoss</v>
      </c>
      <c r="O83" s="143" t="str">
        <f t="shared" ca="1" si="9"/>
        <v>'Storey'</v>
      </c>
    </row>
    <row r="84" spans="1:15" ht="19.5" customHeight="1">
      <c r="A84" s="133" t="s">
        <v>1236</v>
      </c>
      <c r="B84" s="134"/>
      <c r="C84" s="135"/>
      <c r="D84" s="136">
        <v>4</v>
      </c>
      <c r="E84" s="137" t="s">
        <v>1237</v>
      </c>
      <c r="F84" s="137"/>
      <c r="G84" s="137"/>
      <c r="H84" s="137"/>
      <c r="I84" s="137" t="s">
        <v>1238</v>
      </c>
      <c r="J84" s="137"/>
      <c r="K84" s="137"/>
      <c r="L84" s="137"/>
      <c r="M84" s="138" t="str">
        <f>"Pre-defined codes:"</f>
        <v>Pre-defined codes:</v>
      </c>
      <c r="N84" s="138" t="str">
        <f>"festgelegte Codes:"</f>
        <v>festgelegte Codes:</v>
      </c>
      <c r="O84" s="143" t="str">
        <f t="shared" ca="1" si="9"/>
        <v/>
      </c>
    </row>
    <row r="85" spans="1:15">
      <c r="A85" s="140"/>
      <c r="B85" s="141">
        <v>1</v>
      </c>
      <c r="C85" s="5" t="s">
        <v>1239</v>
      </c>
      <c r="D85" s="141"/>
      <c r="E85" s="5" t="s">
        <v>1240</v>
      </c>
      <c r="F85" s="5"/>
      <c r="G85" s="5"/>
      <c r="H85" s="5"/>
      <c r="I85" s="5" t="s">
        <v>1241</v>
      </c>
      <c r="J85" s="5"/>
      <c r="K85" s="5"/>
      <c r="L85" s="5"/>
      <c r="M85" t="str">
        <f>""""&amp;$C85&amp;""": "&amp;$E85&amp;IF(F85&lt;&gt;""," / "&amp;F85,"")</f>
        <v>"N0": None (detached)</v>
      </c>
      <c r="N85" t="str">
        <f>""""&amp;$C85&amp;""": "&amp;$I85&amp;IF(J85&lt;&gt;""," / "&amp;J85,"")</f>
        <v>"N0": keins (freistehend)</v>
      </c>
      <c r="O85" s="143" t="str">
        <f t="shared" ca="1" si="9"/>
        <v>'N0','N1','N2','_NA_'</v>
      </c>
    </row>
    <row r="86" spans="1:15">
      <c r="A86" s="140"/>
      <c r="B86" s="141">
        <v>2</v>
      </c>
      <c r="C86" s="5" t="s">
        <v>1242</v>
      </c>
      <c r="D86" s="141"/>
      <c r="E86" s="5" t="s">
        <v>1243</v>
      </c>
      <c r="F86" s="5"/>
      <c r="G86" s="5"/>
      <c r="H86" s="5"/>
      <c r="I86" s="5" t="s">
        <v>1244</v>
      </c>
      <c r="J86" s="5"/>
      <c r="K86" s="5"/>
      <c r="L86" s="5"/>
      <c r="M86" t="str">
        <f t="shared" ref="M86:M87" si="12">""""&amp;$C86&amp;""": "&amp;$E86&amp;IF(F86&lt;&gt;""," / "&amp;F86,"")</f>
        <v>"N1": One side (semi-detached)</v>
      </c>
      <c r="N86" t="str">
        <f t="shared" ref="N86:N87" si="13">""""&amp;$C86&amp;""": "&amp;$I86&amp;IF(J86&lt;&gt;""," / "&amp;J86,"")</f>
        <v>"N1": auf einer Seite</v>
      </c>
      <c r="O86" s="143" t="str">
        <f t="shared" ca="1" si="9"/>
        <v>'N1','N2','_NA_'</v>
      </c>
    </row>
    <row r="87" spans="1:15">
      <c r="A87" s="140"/>
      <c r="B87" s="141">
        <v>3</v>
      </c>
      <c r="C87" s="5" t="s">
        <v>1245</v>
      </c>
      <c r="D87" s="141"/>
      <c r="E87" s="5" t="s">
        <v>1246</v>
      </c>
      <c r="F87" s="5"/>
      <c r="G87" s="5"/>
      <c r="H87" s="5"/>
      <c r="I87" s="5" t="s">
        <v>1247</v>
      </c>
      <c r="J87" s="5"/>
      <c r="K87" s="5"/>
      <c r="L87" s="5"/>
      <c r="M87" t="str">
        <f t="shared" si="12"/>
        <v>"N2": Two sides (terraced)</v>
      </c>
      <c r="N87" t="str">
        <f t="shared" si="13"/>
        <v>"N2": auf zwei Seiten</v>
      </c>
      <c r="O87" s="143" t="str">
        <f t="shared" ca="1" si="9"/>
        <v>'N2','_NA_'</v>
      </c>
    </row>
    <row r="88" spans="1:15">
      <c r="A88" s="140"/>
      <c r="B88" s="141">
        <v>4</v>
      </c>
      <c r="C88" s="5" t="s">
        <v>41</v>
      </c>
      <c r="D88" s="141"/>
      <c r="E88" s="5" t="s">
        <v>1051</v>
      </c>
      <c r="F88" s="5" t="s">
        <v>1052</v>
      </c>
      <c r="G88" s="5"/>
      <c r="H88" s="5"/>
      <c r="I88" s="5" t="s">
        <v>1053</v>
      </c>
      <c r="J88" s="5" t="s">
        <v>1248</v>
      </c>
      <c r="K88" s="5"/>
      <c r="L88" s="5"/>
      <c r="M88" t="str">
        <f>""""&amp;$C88&amp;""": "&amp;$E88&amp;IF(F88&lt;&gt;""," / "&amp;F88,"")</f>
        <v>"_NA_": N/A / not available / not applicable</v>
      </c>
      <c r="N88" t="str">
        <f>""""&amp;$C88&amp;""": "&amp;$I88&amp;IF(J88&lt;&gt;""," / "&amp;J88,"")</f>
        <v>"_NA_": k.A. / keine Angaben / unbekannt</v>
      </c>
      <c r="O88" s="143" t="str">
        <f t="shared" ca="1" si="9"/>
        <v>'_NA_'</v>
      </c>
    </row>
    <row r="89" spans="1:15" ht="19.5" customHeight="1">
      <c r="A89" s="133" t="s">
        <v>1249</v>
      </c>
      <c r="B89" s="134"/>
      <c r="C89" s="135"/>
      <c r="D89" s="136">
        <v>4</v>
      </c>
      <c r="E89" s="137" t="s">
        <v>1250</v>
      </c>
      <c r="F89" s="137"/>
      <c r="G89" s="137"/>
      <c r="H89" s="137"/>
      <c r="I89" s="137" t="s">
        <v>1251</v>
      </c>
      <c r="J89" s="137"/>
      <c r="K89" s="137"/>
      <c r="L89" s="137"/>
      <c r="M89" s="138" t="str">
        <f>"Pre-defined codes:"</f>
        <v>Pre-defined codes:</v>
      </c>
      <c r="N89" s="138" t="str">
        <f>"festgelegte Codes:"</f>
        <v>festgelegte Codes:</v>
      </c>
      <c r="O89" s="143" t="str">
        <f t="shared" ca="1" si="9"/>
        <v/>
      </c>
    </row>
    <row r="90" spans="1:15">
      <c r="A90" s="140"/>
      <c r="B90" s="141">
        <v>1</v>
      </c>
      <c r="C90" s="5" t="s">
        <v>1252</v>
      </c>
      <c r="D90" s="141"/>
      <c r="E90" s="5" t="s">
        <v>1253</v>
      </c>
      <c r="F90" s="5"/>
      <c r="G90" s="5"/>
      <c r="H90" s="5"/>
      <c r="I90" s="5" t="s">
        <v>1254</v>
      </c>
      <c r="J90" s="5"/>
      <c r="K90" s="5"/>
      <c r="L90" s="5"/>
      <c r="M90" t="str">
        <f>""""&amp;$C90&amp;""": "&amp;$E90&amp;IF(F90&lt;&gt;""," / "&amp;F90,"")</f>
        <v>"Simple": Very compact</v>
      </c>
      <c r="N90" t="str">
        <f>""""&amp;$C90&amp;""": "&amp;$I90&amp;IF(J90&lt;&gt;""," / "&amp;J90,"")</f>
        <v>"Simple": kompakt</v>
      </c>
      <c r="O90" s="143" t="str">
        <f t="shared" ca="1" si="9"/>
        <v>'Simple','Standard','Complex','_NA_'</v>
      </c>
    </row>
    <row r="91" spans="1:15">
      <c r="A91" s="140"/>
      <c r="B91" s="141">
        <v>2</v>
      </c>
      <c r="C91" s="5" t="s">
        <v>1255</v>
      </c>
      <c r="D91" s="141"/>
      <c r="E91" s="5" t="s">
        <v>1256</v>
      </c>
      <c r="F91" s="5"/>
      <c r="G91" s="5"/>
      <c r="H91" s="5"/>
      <c r="I91" s="5" t="s">
        <v>1257</v>
      </c>
      <c r="J91" s="5"/>
      <c r="K91" s="5"/>
      <c r="L91" s="5"/>
      <c r="M91" t="str">
        <f t="shared" ref="M91:M92" si="14">""""&amp;$C91&amp;""": "&amp;$E91&amp;IF(F91&lt;&gt;""," / "&amp;F91,"")</f>
        <v>"Standard": Normal</v>
      </c>
      <c r="N91" t="str">
        <f t="shared" ref="N91:N92" si="15">""""&amp;$C91&amp;""": "&amp;$I91&amp;IF(J91&lt;&gt;""," / "&amp;J91,"")</f>
        <v>"Standard": normal</v>
      </c>
      <c r="O91" s="143" t="str">
        <f t="shared" ca="1" si="9"/>
        <v>'Standard','Complex','_NA_'</v>
      </c>
    </row>
    <row r="92" spans="1:15" ht="20.399999999999999">
      <c r="A92" s="140"/>
      <c r="B92" s="141">
        <v>3</v>
      </c>
      <c r="C92" s="5" t="s">
        <v>1258</v>
      </c>
      <c r="D92" s="141"/>
      <c r="E92" s="5" t="s">
        <v>1259</v>
      </c>
      <c r="F92" s="5"/>
      <c r="G92" s="5"/>
      <c r="H92" s="5"/>
      <c r="I92" s="5" t="s">
        <v>1260</v>
      </c>
      <c r="J92" s="5"/>
      <c r="K92" s="5"/>
      <c r="L92" s="5"/>
      <c r="M92" t="str">
        <f t="shared" si="14"/>
        <v>"Complex": Complex or extended</v>
      </c>
      <c r="N92" t="str">
        <f t="shared" si="15"/>
        <v>"Complex": langgestreckt oder gewinkelt oder komplex</v>
      </c>
      <c r="O92" s="143" t="str">
        <f t="shared" ca="1" si="9"/>
        <v>'Complex','_NA_'</v>
      </c>
    </row>
    <row r="93" spans="1:15">
      <c r="A93" s="140"/>
      <c r="B93" s="141">
        <v>4</v>
      </c>
      <c r="C93" s="5" t="s">
        <v>41</v>
      </c>
      <c r="D93" s="141"/>
      <c r="E93" s="5" t="s">
        <v>1051</v>
      </c>
      <c r="F93" s="5" t="s">
        <v>1052</v>
      </c>
      <c r="G93" s="5"/>
      <c r="H93" s="5"/>
      <c r="I93" s="5" t="s">
        <v>1053</v>
      </c>
      <c r="J93" s="5" t="s">
        <v>1248</v>
      </c>
      <c r="K93" s="5"/>
      <c r="L93" s="5"/>
      <c r="M93" t="str">
        <f>""""&amp;$C93&amp;""": "&amp;$E93&amp;IF(F93&lt;&gt;""," / "&amp;F93,"")</f>
        <v>"_NA_": N/A / not available / not applicable</v>
      </c>
      <c r="N93" t="str">
        <f>""""&amp;$C93&amp;""": "&amp;$I93&amp;IF(J93&lt;&gt;""," / "&amp;J93,"")</f>
        <v>"_NA_": k.A. / keine Angaben / unbekannt</v>
      </c>
      <c r="O93" s="143" t="str">
        <f t="shared" ca="1" si="9"/>
        <v>'_NA_'</v>
      </c>
    </row>
    <row r="94" spans="1:15" ht="19.5" customHeight="1">
      <c r="A94" s="133" t="s">
        <v>1261</v>
      </c>
      <c r="B94" s="134"/>
      <c r="C94" s="135"/>
      <c r="D94" s="136">
        <v>5</v>
      </c>
      <c r="E94" s="137" t="s">
        <v>1262</v>
      </c>
      <c r="F94" s="137" t="s">
        <v>1263</v>
      </c>
      <c r="G94" s="137"/>
      <c r="H94" s="137"/>
      <c r="I94" s="137" t="s">
        <v>1264</v>
      </c>
      <c r="J94" s="137" t="s">
        <v>1265</v>
      </c>
      <c r="K94" s="137"/>
      <c r="L94" s="137"/>
      <c r="M94" s="138" t="str">
        <f>"Pre-defined codes:"</f>
        <v>Pre-defined codes:</v>
      </c>
      <c r="N94" s="138" t="str">
        <f>"festgelegte Codes:"</f>
        <v>festgelegte Codes:</v>
      </c>
      <c r="O94" s="143" t="str">
        <f t="shared" ca="1" si="9"/>
        <v/>
      </c>
    </row>
    <row r="95" spans="1:15" ht="20.399999999999999">
      <c r="A95" s="140"/>
      <c r="B95" s="141">
        <v>1</v>
      </c>
      <c r="C95" s="5" t="s">
        <v>1266</v>
      </c>
      <c r="D95" s="141"/>
      <c r="E95" s="5" t="s">
        <v>1267</v>
      </c>
      <c r="F95" s="5"/>
      <c r="G95" s="5"/>
      <c r="H95" s="5"/>
      <c r="I95" s="5" t="s">
        <v>1268</v>
      </c>
      <c r="J95" s="5"/>
      <c r="K95" s="5"/>
      <c r="L95" s="5"/>
      <c r="M95" t="str">
        <f>""""&amp;$C95&amp;""": "&amp;$E95&amp;IF(F95&lt;&gt;""," / "&amp;F95,"")</f>
        <v>"-": Not available (flat roof or slightly tilted roof)</v>
      </c>
      <c r="N95" t="str">
        <f>""""&amp;$C95&amp;""": "&amp;$I95&amp;IF(J95&lt;&gt;""," / "&amp;J95,"")</f>
        <v>"-": Flachdach oder flach geneigtes Dach (kein Dachgeschoss vorhanden)</v>
      </c>
      <c r="O95" s="143" t="str">
        <f t="shared" ca="1" si="9"/>
        <v>'-','N','P','C','_NA_'</v>
      </c>
    </row>
    <row r="96" spans="1:15">
      <c r="A96" s="140"/>
      <c r="B96" s="141">
        <v>2</v>
      </c>
      <c r="C96" s="5" t="s">
        <v>1269</v>
      </c>
      <c r="D96" s="141"/>
      <c r="E96" s="5" t="s">
        <v>1270</v>
      </c>
      <c r="F96" s="5"/>
      <c r="G96" s="5"/>
      <c r="H96" s="5"/>
      <c r="I96" s="5" t="s">
        <v>1271</v>
      </c>
      <c r="J96" s="5"/>
      <c r="K96" s="5"/>
      <c r="L96" s="5"/>
      <c r="M96" t="str">
        <f t="shared" ref="M96:M97" si="16">""""&amp;$C96&amp;""": "&amp;$E96&amp;IF(F96&lt;&gt;""," / "&amp;F96,"")</f>
        <v>"N": Not heated</v>
      </c>
      <c r="N96" t="str">
        <f t="shared" ref="N96:N97" si="17">""""&amp;$C96&amp;""": "&amp;$I96&amp;IF(J96&lt;&gt;""," / "&amp;J96,"")</f>
        <v>"N": Dachgeschoss unbeheizt</v>
      </c>
      <c r="O96" s="143" t="str">
        <f t="shared" ca="1" si="9"/>
        <v>'N','P','C','_NA_'</v>
      </c>
    </row>
    <row r="97" spans="1:15">
      <c r="A97" s="140"/>
      <c r="B97" s="141">
        <v>3</v>
      </c>
      <c r="C97" s="5" t="s">
        <v>1272</v>
      </c>
      <c r="D97" s="141"/>
      <c r="E97" s="5" t="s">
        <v>1273</v>
      </c>
      <c r="F97" s="5"/>
      <c r="G97" s="5"/>
      <c r="H97" s="5"/>
      <c r="I97" s="5" t="s">
        <v>1274</v>
      </c>
      <c r="J97" s="5"/>
      <c r="K97" s="5"/>
      <c r="L97" s="5"/>
      <c r="M97" t="str">
        <f t="shared" si="16"/>
        <v>"P": Partly heated</v>
      </c>
      <c r="N97" t="str">
        <f t="shared" si="17"/>
        <v>"P": Dachgeschoss teilweise beheizt</v>
      </c>
      <c r="O97" s="143" t="str">
        <f t="shared" ca="1" si="9"/>
        <v>'P','C','_NA_'</v>
      </c>
    </row>
    <row r="98" spans="1:15">
      <c r="A98" s="140"/>
      <c r="B98" s="141">
        <v>4</v>
      </c>
      <c r="C98" s="5" t="s">
        <v>65</v>
      </c>
      <c r="D98" s="141"/>
      <c r="E98" s="5" t="s">
        <v>1275</v>
      </c>
      <c r="F98" s="5"/>
      <c r="G98" s="5"/>
      <c r="H98" s="5"/>
      <c r="I98" s="5" t="s">
        <v>1276</v>
      </c>
      <c r="J98" s="5"/>
      <c r="K98" s="5"/>
      <c r="L98" s="5"/>
      <c r="M98" t="str">
        <f>""""&amp;$C98&amp;""": "&amp;$E98&amp;IF(F98&lt;&gt;""," / "&amp;F98,"")</f>
        <v>"C": Completely heated</v>
      </c>
      <c r="N98" t="str">
        <f>""""&amp;$C98&amp;""": "&amp;$I98&amp;IF(J98&lt;&gt;""," / "&amp;J98,"")</f>
        <v>"C": Dachgeschoss voll beheizt</v>
      </c>
      <c r="O98" s="143" t="str">
        <f t="shared" ca="1" si="9"/>
        <v>'C','_NA_'</v>
      </c>
    </row>
    <row r="99" spans="1:15">
      <c r="A99" s="140"/>
      <c r="B99" s="141">
        <v>5</v>
      </c>
      <c r="C99" s="5" t="s">
        <v>41</v>
      </c>
      <c r="D99" s="141"/>
      <c r="E99" s="5" t="s">
        <v>1051</v>
      </c>
      <c r="F99" s="5" t="s">
        <v>1052</v>
      </c>
      <c r="G99" s="5"/>
      <c r="H99" s="5"/>
      <c r="I99" s="5" t="s">
        <v>1053</v>
      </c>
      <c r="J99" s="5" t="s">
        <v>1248</v>
      </c>
      <c r="K99" s="5"/>
      <c r="L99" s="5"/>
      <c r="M99" t="str">
        <f t="shared" ref="M99" si="18">""""&amp;$C99&amp;""": "&amp;$E99&amp;IF(F99&lt;&gt;""," / "&amp;F99,"")</f>
        <v>"_NA_": N/A / not available / not applicable</v>
      </c>
      <c r="N99" t="str">
        <f t="shared" ref="N99" si="19">""""&amp;$C99&amp;""": "&amp;$I99&amp;IF(J99&lt;&gt;""," / "&amp;J99,"")</f>
        <v>"_NA_": k.A. / keine Angaben / unbekannt</v>
      </c>
      <c r="O99" s="143" t="str">
        <f t="shared" ca="1" si="9"/>
        <v>'_NA_'</v>
      </c>
    </row>
    <row r="100" spans="1:15" ht="19.5" customHeight="1">
      <c r="A100" s="133" t="s">
        <v>1277</v>
      </c>
      <c r="B100" s="134"/>
      <c r="C100" s="135"/>
      <c r="D100" s="136">
        <v>3</v>
      </c>
      <c r="E100" s="137" t="s">
        <v>1278</v>
      </c>
      <c r="F100" s="137"/>
      <c r="G100" s="137"/>
      <c r="H100" s="137"/>
      <c r="I100" s="137" t="s">
        <v>1279</v>
      </c>
      <c r="J100" s="137"/>
      <c r="K100" s="137"/>
      <c r="L100" s="137"/>
      <c r="M100" s="138" t="str">
        <f>"Pre-defined codes:"</f>
        <v>Pre-defined codes:</v>
      </c>
      <c r="N100" s="138" t="str">
        <f>"festgelegte Codes:"</f>
        <v>festgelegte Codes:</v>
      </c>
      <c r="O100" s="143" t="str">
        <f t="shared" ca="1" si="9"/>
        <v/>
      </c>
    </row>
    <row r="101" spans="1:15">
      <c r="A101" s="140"/>
      <c r="B101" s="141" t="b">
        <v>0</v>
      </c>
      <c r="C101" s="5" t="s">
        <v>1252</v>
      </c>
      <c r="D101" s="141"/>
      <c r="E101" s="5" t="s">
        <v>1280</v>
      </c>
      <c r="F101" s="5"/>
      <c r="G101" s="5"/>
      <c r="H101" s="5"/>
      <c r="I101" s="5" t="s">
        <v>1281</v>
      </c>
      <c r="J101" s="5"/>
      <c r="K101" s="5"/>
      <c r="L101" s="5"/>
      <c r="M101" t="str">
        <f>""""&amp;$C101&amp;""": "&amp;$E101&amp;IF(F101&lt;&gt;""," / "&amp;F101,"")</f>
        <v>"Simple": Simple or standard roof shape</v>
      </c>
      <c r="N101" t="str">
        <f>""""&amp;$C101&amp;""": "&amp;$I101&amp;IF(J101&lt;&gt;""," / "&amp;J101,"")</f>
        <v>"Simple": einfache bzw. gewöhnliche Dachform</v>
      </c>
      <c r="O101" s="143" t="str">
        <f t="shared" ca="1" si="9"/>
        <v>'Simple','Complex','_NA_'</v>
      </c>
    </row>
    <row r="102" spans="1:15" ht="20.399999999999999">
      <c r="A102" s="140"/>
      <c r="B102" s="141" t="b">
        <v>1</v>
      </c>
      <c r="C102" s="5" t="s">
        <v>1258</v>
      </c>
      <c r="D102" s="141"/>
      <c r="E102" s="5" t="s">
        <v>1282</v>
      </c>
      <c r="F102" s="5"/>
      <c r="G102" s="5"/>
      <c r="H102" s="5"/>
      <c r="I102" s="5" t="s">
        <v>1283</v>
      </c>
      <c r="J102" s="5"/>
      <c r="K102" s="5"/>
      <c r="L102" s="5"/>
      <c r="M102" t="str">
        <f t="shared" ref="M102:M103" si="20">""""&amp;$C102&amp;""": "&amp;$E102&amp;IF(F102&lt;&gt;""," / "&amp;F102,"")</f>
        <v>"Complex": Roof with several dormers or other complex shape</v>
      </c>
      <c r="N102" t="str">
        <f t="shared" ref="N102:N103" si="21">""""&amp;$C102&amp;""": "&amp;$I102&amp;IF(J102&lt;&gt;""," / "&amp;J102,"")</f>
        <v>"Complex": Dach mit mehreren Gauben oder komplexe Dachform</v>
      </c>
      <c r="O102" s="143" t="str">
        <f t="shared" ca="1" si="9"/>
        <v>'Complex','_NA_'</v>
      </c>
    </row>
    <row r="103" spans="1:15">
      <c r="A103" s="140"/>
      <c r="B103" s="141" t="e">
        <v>#N/A</v>
      </c>
      <c r="C103" s="5" t="s">
        <v>41</v>
      </c>
      <c r="D103" s="141"/>
      <c r="E103" s="5" t="s">
        <v>1051</v>
      </c>
      <c r="F103" s="5" t="s">
        <v>1052</v>
      </c>
      <c r="G103" s="5"/>
      <c r="H103" s="5"/>
      <c r="I103" s="5" t="s">
        <v>1053</v>
      </c>
      <c r="J103" s="5" t="s">
        <v>1248</v>
      </c>
      <c r="K103" s="5"/>
      <c r="L103" s="5"/>
      <c r="M103" t="str">
        <f t="shared" si="20"/>
        <v>"_NA_": N/A / not available / not applicable</v>
      </c>
      <c r="N103" t="str">
        <f t="shared" si="21"/>
        <v>"_NA_": k.A. / keine Angaben / unbekannt</v>
      </c>
      <c r="O103" s="143" t="str">
        <f t="shared" ca="1" si="9"/>
        <v>'_NA_'</v>
      </c>
    </row>
    <row r="104" spans="1:15" ht="19.5" customHeight="1">
      <c r="A104" s="133" t="s">
        <v>1284</v>
      </c>
      <c r="B104" s="134"/>
      <c r="C104" s="135"/>
      <c r="D104" s="136">
        <v>5</v>
      </c>
      <c r="E104" s="137" t="s">
        <v>1285</v>
      </c>
      <c r="F104" s="137" t="s">
        <v>1263</v>
      </c>
      <c r="G104" s="137"/>
      <c r="H104" s="137"/>
      <c r="I104" s="137" t="s">
        <v>1286</v>
      </c>
      <c r="J104" s="137" t="s">
        <v>1265</v>
      </c>
      <c r="K104" s="137"/>
      <c r="L104" s="137"/>
      <c r="M104" s="138" t="str">
        <f>"Pre-defined codes:"</f>
        <v>Pre-defined codes:</v>
      </c>
      <c r="N104" s="138" t="str">
        <f>"festgelegte Codes:"</f>
        <v>festgelegte Codes:</v>
      </c>
      <c r="O104" s="143" t="str">
        <f t="shared" ca="1" si="9"/>
        <v/>
      </c>
    </row>
    <row r="105" spans="1:15">
      <c r="A105" s="140"/>
      <c r="B105" s="141">
        <v>1</v>
      </c>
      <c r="C105" s="5" t="s">
        <v>1266</v>
      </c>
      <c r="D105" s="141"/>
      <c r="E105" s="5" t="s">
        <v>1287</v>
      </c>
      <c r="F105" s="5"/>
      <c r="G105" s="5"/>
      <c r="H105" s="5"/>
      <c r="I105" s="5" t="s">
        <v>1288</v>
      </c>
      <c r="J105" s="5"/>
      <c r="K105" s="5"/>
      <c r="L105" s="5"/>
      <c r="M105" t="str">
        <f>""""&amp;$C105&amp;""": "&amp;$E105&amp;IF(F105&lt;&gt;""," / "&amp;F105,"")</f>
        <v>"-": Not available</v>
      </c>
      <c r="N105" t="str">
        <f>""""&amp;$C105&amp;""": "&amp;$I105&amp;IF(J105&lt;&gt;""," / "&amp;J105,"")</f>
        <v>"-": nicht unterkellert</v>
      </c>
      <c r="O105" s="143" t="str">
        <f t="shared" ca="1" si="9"/>
        <v>'-','N','P','C','_NA_'</v>
      </c>
    </row>
    <row r="106" spans="1:15">
      <c r="A106" s="140"/>
      <c r="B106" s="141">
        <v>2</v>
      </c>
      <c r="C106" s="5" t="s">
        <v>1269</v>
      </c>
      <c r="D106" s="141"/>
      <c r="E106" s="5" t="s">
        <v>1270</v>
      </c>
      <c r="F106" s="5"/>
      <c r="G106" s="5"/>
      <c r="H106" s="5"/>
      <c r="I106" s="5" t="s">
        <v>1289</v>
      </c>
      <c r="J106" s="5"/>
      <c r="K106" s="5"/>
      <c r="L106" s="5"/>
      <c r="M106" t="str">
        <f t="shared" ref="M106:M107" si="22">""""&amp;$C106&amp;""": "&amp;$E106&amp;IF(F106&lt;&gt;""," / "&amp;F106,"")</f>
        <v>"N": Not heated</v>
      </c>
      <c r="N106" t="str">
        <f t="shared" ref="N106:N107" si="23">""""&amp;$C106&amp;""": "&amp;$I106&amp;IF(J106&lt;&gt;""," / "&amp;J106,"")</f>
        <v>"N": Kellergeschoss unbeheizt</v>
      </c>
      <c r="O106" s="143" t="str">
        <f t="shared" ca="1" si="9"/>
        <v>'N','P','C','_NA_'</v>
      </c>
    </row>
    <row r="107" spans="1:15">
      <c r="A107" s="140"/>
      <c r="B107" s="141">
        <v>3</v>
      </c>
      <c r="C107" s="5" t="s">
        <v>1272</v>
      </c>
      <c r="D107" s="141"/>
      <c r="E107" s="5" t="s">
        <v>1273</v>
      </c>
      <c r="F107" s="5"/>
      <c r="G107" s="5"/>
      <c r="H107" s="5"/>
      <c r="I107" s="5" t="s">
        <v>1290</v>
      </c>
      <c r="J107" s="5"/>
      <c r="K107" s="5"/>
      <c r="L107" s="5"/>
      <c r="M107" t="str">
        <f t="shared" si="22"/>
        <v>"P": Partly heated</v>
      </c>
      <c r="N107" t="str">
        <f t="shared" si="23"/>
        <v>"P": Kellergeschoss teilweise beheizt</v>
      </c>
      <c r="O107" s="143" t="str">
        <f t="shared" ca="1" si="9"/>
        <v>'P','C','_NA_'</v>
      </c>
    </row>
    <row r="108" spans="1:15">
      <c r="A108" s="140"/>
      <c r="B108" s="141">
        <v>4</v>
      </c>
      <c r="C108" s="5" t="s">
        <v>65</v>
      </c>
      <c r="D108" s="141"/>
      <c r="E108" s="5" t="s">
        <v>1275</v>
      </c>
      <c r="F108" s="5"/>
      <c r="G108" s="5"/>
      <c r="H108" s="5"/>
      <c r="I108" s="5" t="s">
        <v>1291</v>
      </c>
      <c r="J108" s="5"/>
      <c r="K108" s="5"/>
      <c r="L108" s="5"/>
      <c r="M108" t="str">
        <f>""""&amp;$C108&amp;""": "&amp;$E108&amp;IF(F108&lt;&gt;""," / "&amp;F108,"")</f>
        <v>"C": Completely heated</v>
      </c>
      <c r="N108" t="str">
        <f>""""&amp;$C108&amp;""": "&amp;$I108&amp;IF(J108&lt;&gt;""," / "&amp;J108,"")</f>
        <v>"C": Kellergeschoss voll beheizt</v>
      </c>
      <c r="O108" s="143" t="str">
        <f t="shared" ca="1" si="9"/>
        <v>'C','_NA_'</v>
      </c>
    </row>
    <row r="109" spans="1:15">
      <c r="A109" s="140"/>
      <c r="B109" s="141">
        <v>5</v>
      </c>
      <c r="C109" s="5" t="s">
        <v>41</v>
      </c>
      <c r="D109" s="141"/>
      <c r="E109" s="5" t="s">
        <v>1051</v>
      </c>
      <c r="F109" s="5" t="s">
        <v>1052</v>
      </c>
      <c r="G109" s="5"/>
      <c r="H109" s="5"/>
      <c r="I109" s="5" t="s">
        <v>1053</v>
      </c>
      <c r="J109" s="5" t="s">
        <v>1248</v>
      </c>
      <c r="K109" s="5"/>
      <c r="L109" s="5"/>
      <c r="M109" t="str">
        <f t="shared" ref="M109" si="24">""""&amp;$C109&amp;""": "&amp;$E109&amp;IF(F109&lt;&gt;""," / "&amp;F109,"")</f>
        <v>"_NA_": N/A / not available / not applicable</v>
      </c>
      <c r="N109" t="str">
        <f t="shared" ref="N109" si="25">""""&amp;$C109&amp;""": "&amp;$I109&amp;IF(J109&lt;&gt;""," / "&amp;J109,"")</f>
        <v>"_NA_": k.A. / keine Angaben / unbekannt</v>
      </c>
      <c r="O109" s="143" t="str">
        <f t="shared" ca="1" si="9"/>
        <v>'_NA_'</v>
      </c>
    </row>
    <row r="110" spans="1:15" ht="19.5" customHeight="1">
      <c r="A110" s="133" t="s">
        <v>150</v>
      </c>
      <c r="B110" s="134"/>
      <c r="C110" s="135"/>
      <c r="D110" s="136">
        <v>5</v>
      </c>
      <c r="E110" s="137" t="s">
        <v>2119</v>
      </c>
      <c r="F110" s="137"/>
      <c r="G110" s="137"/>
      <c r="H110" s="137"/>
      <c r="I110" s="137" t="s">
        <v>2120</v>
      </c>
      <c r="J110" s="137"/>
      <c r="K110" s="137"/>
      <c r="L110" s="137"/>
      <c r="M110" s="138" t="str">
        <f>"Pre-defined codes:"</f>
        <v>Pre-defined codes:</v>
      </c>
      <c r="N110" s="138" t="str">
        <f>"festgelegte Codes:"</f>
        <v>festgelegte Codes:</v>
      </c>
      <c r="O110" s="143" t="str">
        <f t="shared" ref="O110:O117" ca="1" si="26">IF(C110&lt;&gt;"","'"&amp;C110&amp;"'"&amp;IF(OFFSET(O110,1,0)&lt;&gt;"",","&amp;OFFSET(O110,1,0),""),"")</f>
        <v/>
      </c>
    </row>
    <row r="111" spans="1:15">
      <c r="A111" s="140"/>
      <c r="B111" s="141">
        <v>1</v>
      </c>
      <c r="C111" s="5" t="s">
        <v>321</v>
      </c>
      <c r="D111" s="141"/>
      <c r="E111" s="5" t="s">
        <v>321</v>
      </c>
      <c r="F111" s="5"/>
      <c r="G111" s="5"/>
      <c r="H111" s="5"/>
      <c r="I111" s="5" t="s">
        <v>1264</v>
      </c>
      <c r="J111" s="5"/>
      <c r="K111" s="5"/>
      <c r="L111" s="5"/>
      <c r="M111" t="str">
        <f>""""&amp;$C111&amp;""": "&amp;$E111&amp;IF(F111&lt;&gt;""," / "&amp;F111,"")</f>
        <v>"Roof": Roof</v>
      </c>
      <c r="N111" t="str">
        <f>""""&amp;$C111&amp;""": "&amp;$I111&amp;IF(J111&lt;&gt;""," / "&amp;J111,"")</f>
        <v>"Roof": Dach</v>
      </c>
      <c r="O111" s="143" t="str">
        <f t="shared" ca="1" si="26"/>
        <v>'Roof','TopCeiling','Wall','Floor','_NA_'</v>
      </c>
    </row>
    <row r="112" spans="1:15">
      <c r="A112" s="140"/>
      <c r="B112" s="141">
        <v>2</v>
      </c>
      <c r="C112" s="5" t="s">
        <v>1010</v>
      </c>
      <c r="D112" s="141"/>
      <c r="E112" s="5" t="s">
        <v>2115</v>
      </c>
      <c r="F112" s="5"/>
      <c r="G112" s="5"/>
      <c r="H112" s="5"/>
      <c r="I112" s="5" t="s">
        <v>2116</v>
      </c>
      <c r="J112" s="5"/>
      <c r="K112" s="5"/>
      <c r="L112" s="5"/>
      <c r="M112" t="str">
        <f t="shared" ref="M112:M113" si="27">""""&amp;$C112&amp;""": "&amp;$E112&amp;IF(F112&lt;&gt;""," / "&amp;F112,"")</f>
        <v>"TopCeiling": Top ceiling</v>
      </c>
      <c r="N112" t="str">
        <f t="shared" ref="N112:N113" si="28">""""&amp;$C112&amp;""": "&amp;$I112&amp;IF(J112&lt;&gt;""," / "&amp;J112,"")</f>
        <v>"TopCeiling": oberste Geschossdecke</v>
      </c>
      <c r="O112" s="143" t="str">
        <f t="shared" ca="1" si="26"/>
        <v>'TopCeiling','Wall','Floor','_NA_'</v>
      </c>
    </row>
    <row r="113" spans="1:15">
      <c r="A113" s="140"/>
      <c r="B113" s="141">
        <v>3</v>
      </c>
      <c r="C113" s="5" t="s">
        <v>134</v>
      </c>
      <c r="D113" s="141"/>
      <c r="E113" s="5" t="s">
        <v>134</v>
      </c>
      <c r="F113" s="5"/>
      <c r="G113" s="5"/>
      <c r="H113" s="5"/>
      <c r="I113" s="5" t="s">
        <v>2117</v>
      </c>
      <c r="J113" s="5"/>
      <c r="K113" s="5"/>
      <c r="L113" s="5"/>
      <c r="M113" t="str">
        <f t="shared" si="27"/>
        <v>"Wall": Wall</v>
      </c>
      <c r="N113" t="str">
        <f t="shared" si="28"/>
        <v>"Wall": Wand</v>
      </c>
      <c r="O113" s="143" t="str">
        <f t="shared" ca="1" si="26"/>
        <v>'Wall','Floor','_NA_'</v>
      </c>
    </row>
    <row r="114" spans="1:15">
      <c r="A114" s="140"/>
      <c r="B114" s="141">
        <v>4</v>
      </c>
      <c r="C114" s="5" t="s">
        <v>323</v>
      </c>
      <c r="D114" s="141"/>
      <c r="E114" s="5" t="s">
        <v>323</v>
      </c>
      <c r="F114" s="5"/>
      <c r="G114" s="5"/>
      <c r="H114" s="5"/>
      <c r="I114" s="5" t="s">
        <v>2118</v>
      </c>
      <c r="J114" s="5"/>
      <c r="K114" s="5"/>
      <c r="L114" s="5"/>
      <c r="M114" t="str">
        <f>""""&amp;$C114&amp;""": "&amp;$E114&amp;IF(F114&lt;&gt;""," / "&amp;F114,"")</f>
        <v>"Floor": Floor</v>
      </c>
      <c r="N114" t="str">
        <f>""""&amp;$C114&amp;""": "&amp;$I114&amp;IF(J114&lt;&gt;""," / "&amp;J114,"")</f>
        <v>"Floor": Fußboden</v>
      </c>
      <c r="O114" s="143" t="str">
        <f t="shared" ca="1" si="26"/>
        <v>'Floor','_NA_'</v>
      </c>
    </row>
    <row r="115" spans="1:15">
      <c r="A115" s="140"/>
      <c r="B115" s="141">
        <v>5</v>
      </c>
      <c r="C115" s="5" t="s">
        <v>41</v>
      </c>
      <c r="D115" s="141"/>
      <c r="E115" s="5" t="s">
        <v>1051</v>
      </c>
      <c r="F115" s="5" t="s">
        <v>1052</v>
      </c>
      <c r="G115" s="5"/>
      <c r="H115" s="5"/>
      <c r="I115" s="5" t="s">
        <v>1053</v>
      </c>
      <c r="J115" s="5" t="s">
        <v>1248</v>
      </c>
      <c r="K115" s="5"/>
      <c r="L115" s="5"/>
      <c r="M115" t="str">
        <f t="shared" ref="M115" si="29">""""&amp;$C115&amp;""": "&amp;$E115&amp;IF(F115&lt;&gt;""," / "&amp;F115,"")</f>
        <v>"_NA_": N/A / not available / not applicable</v>
      </c>
      <c r="N115" t="str">
        <f t="shared" ref="N115" si="30">""""&amp;$C115&amp;""": "&amp;$I115&amp;IF(J115&lt;&gt;""," / "&amp;J115,"")</f>
        <v>"_NA_": k.A. / keine Angaben / unbekannt</v>
      </c>
      <c r="O115" s="143" t="str">
        <f t="shared" ca="1" si="26"/>
        <v>'_NA_'</v>
      </c>
    </row>
    <row r="116" spans="1:15" ht="19.5" customHeight="1">
      <c r="A116" s="133" t="s">
        <v>165</v>
      </c>
      <c r="B116" s="134"/>
      <c r="C116" s="135"/>
      <c r="D116" s="136">
        <v>8</v>
      </c>
      <c r="E116" s="137" t="s">
        <v>2121</v>
      </c>
      <c r="F116" s="137" t="s">
        <v>2136</v>
      </c>
      <c r="G116" s="137"/>
      <c r="H116" s="137"/>
      <c r="I116" s="137" t="s">
        <v>2122</v>
      </c>
      <c r="J116" s="137" t="s">
        <v>2157</v>
      </c>
      <c r="K116" s="137"/>
      <c r="L116" s="137"/>
      <c r="M116" s="138" t="str">
        <f>"Pre-defined codes ("&amp;F116&amp;" / "&amp;G116&amp;")"</f>
        <v>Pre-defined codes (Relevant for default values of insulation thickness and thermal conductivity / )</v>
      </c>
      <c r="N116" s="138" t="str">
        <f>"festgelegte Codes ("&amp;J116&amp;" / "&amp;K116&amp;"):"</f>
        <v>festgelegte Codes (Relevant für Pauschalwerte der Dicke und der Wärmeleitfähigkeit von Dämmung / ):</v>
      </c>
      <c r="O116" s="143" t="str">
        <f t="shared" ca="1" si="26"/>
        <v/>
      </c>
    </row>
    <row r="117" spans="1:15" ht="20.399999999999999">
      <c r="A117" s="140"/>
      <c r="B117" s="141">
        <v>1</v>
      </c>
      <c r="C117" s="5" t="s">
        <v>2123</v>
      </c>
      <c r="D117" s="165"/>
      <c r="E117" s="5" t="s">
        <v>2128</v>
      </c>
      <c r="F117" s="144" t="s">
        <v>280</v>
      </c>
      <c r="G117" s="5"/>
      <c r="H117" s="5"/>
      <c r="I117" s="5" t="s">
        <v>2135</v>
      </c>
      <c r="J117" s="5"/>
      <c r="K117" s="5"/>
      <c r="L117" s="5"/>
      <c r="M117" t="str">
        <f>""""&amp;$C117&amp;""": "&amp;$F117&amp;IF(G117&lt;&gt;""," / "&amp;G117,"")</f>
        <v>"AppliedBetweenRafters": Insulation applied between rafters / wood beams</v>
      </c>
      <c r="N117" t="str">
        <f>""""&amp;$C117&amp;""" ("&amp;I117&amp;"): "&amp;$J117&amp;IF(L117&lt;&gt;""," / "&amp;L117,"")</f>
        <v xml:space="preserve">"AppliedBetweenRafters" (Zwischensparrendämmung): </v>
      </c>
      <c r="O117" s="143" t="str">
        <f t="shared" ca="1" si="26"/>
        <v>'AppliedBetweenRafters','FlatRoofMassive','TopCeiling','Wall_External','Wall_Internal','BorderingCellar','BorderingSoil','_NA_'</v>
      </c>
    </row>
    <row r="118" spans="1:15" ht="20.399999999999999">
      <c r="A118" s="140"/>
      <c r="B118" s="141">
        <v>2</v>
      </c>
      <c r="C118" s="5" t="s">
        <v>2124</v>
      </c>
      <c r="D118" s="165"/>
      <c r="E118" s="5" t="s">
        <v>2132</v>
      </c>
      <c r="F118" s="144" t="s">
        <v>281</v>
      </c>
      <c r="G118" s="5"/>
      <c r="H118" s="5"/>
      <c r="I118" s="5" t="s">
        <v>2137</v>
      </c>
      <c r="J118" s="5"/>
      <c r="K118" s="5"/>
      <c r="L118" s="5"/>
      <c r="M118" t="str">
        <f t="shared" ref="M118:M124" si="31">""""&amp;$C118&amp;""": "&amp;$F118&amp;IF(G118&lt;&gt;""," / "&amp;G118,"")</f>
        <v>"FlatRoofMassive": Insulation appled on a flat roof (massive construction)</v>
      </c>
      <c r="N118" t="str">
        <f t="shared" ref="N118:N124" si="32">""""&amp;$C118&amp;""" ("&amp;I118&amp;"): "&amp;$J118&amp;IF(L118&lt;&gt;""," / "&amp;L118,"")</f>
        <v xml:space="preserve">"FlatRoofMassive" (Dämmung auf Massivdach): </v>
      </c>
      <c r="O118" s="143" t="str">
        <f t="shared" ref="O118:O124" ca="1" si="33">IF(C118&lt;&gt;"","'"&amp;C118&amp;"'"&amp;IF(OFFSET(O118,1,0)&lt;&gt;"",","&amp;OFFSET(O118,1,0),""),"")</f>
        <v>'FlatRoofMassive','TopCeiling','Wall_External','Wall_Internal','BorderingCellar','BorderingSoil','_NA_'</v>
      </c>
    </row>
    <row r="119" spans="1:15" ht="20.399999999999999">
      <c r="A119" s="140"/>
      <c r="B119" s="141">
        <v>3</v>
      </c>
      <c r="C119" s="5" t="s">
        <v>1010</v>
      </c>
      <c r="D119" s="165"/>
      <c r="E119" s="5" t="s">
        <v>2129</v>
      </c>
      <c r="F119" s="144" t="s">
        <v>282</v>
      </c>
      <c r="G119" s="5"/>
      <c r="H119" s="5"/>
      <c r="I119" s="5" t="s">
        <v>2138</v>
      </c>
      <c r="J119" s="5"/>
      <c r="K119" s="5"/>
      <c r="L119" s="5"/>
      <c r="M119" t="str">
        <f t="shared" si="31"/>
        <v>"TopCeiling": Insulation appled on the top ceiling (attic not conditioned)</v>
      </c>
      <c r="N119" t="str">
        <f t="shared" si="32"/>
        <v xml:space="preserve">"TopCeiling" (Dämmung auf Geschossdecke): </v>
      </c>
      <c r="O119" s="143" t="str">
        <f t="shared" ca="1" si="33"/>
        <v>'TopCeiling','Wall_External','Wall_Internal','BorderingCellar','BorderingSoil','_NA_'</v>
      </c>
    </row>
    <row r="120" spans="1:15" ht="20.399999999999999">
      <c r="A120" s="140"/>
      <c r="B120" s="141">
        <v>4</v>
      </c>
      <c r="C120" s="5" t="s">
        <v>155</v>
      </c>
      <c r="D120" s="165"/>
      <c r="E120" s="5" t="s">
        <v>2130</v>
      </c>
      <c r="F120" s="144" t="s">
        <v>283</v>
      </c>
      <c r="G120" s="5"/>
      <c r="H120" s="5"/>
      <c r="I120" s="5" t="s">
        <v>2139</v>
      </c>
      <c r="J120" s="5"/>
      <c r="K120" s="5"/>
      <c r="L120" s="5"/>
      <c r="M120" t="str">
        <f t="shared" si="31"/>
        <v>"Wall_External": External insulation of walls (Insulation appled from the outside)</v>
      </c>
      <c r="N120" t="str">
        <f t="shared" si="32"/>
        <v xml:space="preserve">"Wall_External" (Wand, Außendämmung): </v>
      </c>
      <c r="O120" s="143" t="str">
        <f t="shared" ca="1" si="33"/>
        <v>'Wall_External','Wall_Internal','BorderingCellar','BorderingSoil','_NA_'</v>
      </c>
    </row>
    <row r="121" spans="1:15" ht="20.399999999999999">
      <c r="A121" s="140"/>
      <c r="B121" s="141">
        <v>5</v>
      </c>
      <c r="C121" s="5" t="s">
        <v>2125</v>
      </c>
      <c r="D121" s="165"/>
      <c r="E121" s="5" t="s">
        <v>2131</v>
      </c>
      <c r="F121" s="144" t="s">
        <v>284</v>
      </c>
      <c r="G121" s="5"/>
      <c r="H121" s="5"/>
      <c r="I121" s="5" t="s">
        <v>2140</v>
      </c>
      <c r="J121" s="5"/>
      <c r="K121" s="5"/>
      <c r="L121" s="5"/>
      <c r="M121" t="str">
        <f t="shared" si="31"/>
        <v>"Wall_Internal": Internal insulation of walls (Insulation appled from the inside)</v>
      </c>
      <c r="N121" t="str">
        <f t="shared" si="32"/>
        <v xml:space="preserve">"Wall_Internal" (Wand, Innendämmung): </v>
      </c>
      <c r="O121" s="143" t="str">
        <f t="shared" ca="1" si="33"/>
        <v>'Wall_Internal','BorderingCellar','BorderingSoil','_NA_'</v>
      </c>
    </row>
    <row r="122" spans="1:15" ht="30.6">
      <c r="A122" s="140"/>
      <c r="B122" s="141">
        <v>6</v>
      </c>
      <c r="C122" s="5" t="s">
        <v>2126</v>
      </c>
      <c r="D122" s="165"/>
      <c r="E122" s="5" t="s">
        <v>2133</v>
      </c>
      <c r="F122" s="144" t="s">
        <v>285</v>
      </c>
      <c r="G122" s="5"/>
      <c r="H122" s="5"/>
      <c r="I122" s="5" t="s">
        <v>2142</v>
      </c>
      <c r="J122" s="5"/>
      <c r="K122" s="5"/>
      <c r="L122" s="5"/>
      <c r="M122" t="str">
        <f t="shared" si="31"/>
        <v>"BorderingCellar": Insulation appled on walls or ceilings bordering at unconditioned basement spaces</v>
      </c>
      <c r="N122" t="str">
        <f t="shared" si="32"/>
        <v xml:space="preserve">"BorderingCellar" (an Keller grenzendes Bauelement): </v>
      </c>
      <c r="O122" s="143" t="str">
        <f t="shared" ca="1" si="33"/>
        <v>'BorderingCellar','BorderingSoil','_NA_'</v>
      </c>
    </row>
    <row r="123" spans="1:15" ht="20.399999999999999">
      <c r="A123" s="140"/>
      <c r="B123" s="141">
        <v>7</v>
      </c>
      <c r="C123" s="5" t="s">
        <v>2127</v>
      </c>
      <c r="D123" s="165"/>
      <c r="E123" s="5" t="s">
        <v>2134</v>
      </c>
      <c r="F123" s="144" t="s">
        <v>286</v>
      </c>
      <c r="G123" s="5"/>
      <c r="H123" s="5"/>
      <c r="I123" s="5" t="s">
        <v>2141</v>
      </c>
      <c r="J123" s="5"/>
      <c r="K123" s="5"/>
      <c r="L123" s="5"/>
      <c r="M123" t="str">
        <f t="shared" ref="M123" si="34">""""&amp;$C123&amp;""": "&amp;$F123&amp;IF(G123&lt;&gt;""," / "&amp;G123,"")</f>
        <v>"BorderingSoil": Insulation appled on walls or ceilings bordering at soil</v>
      </c>
      <c r="N123" t="str">
        <f t="shared" si="32"/>
        <v xml:space="preserve">"BorderingSoil" (an Erdreich grenzendes Bauelement): </v>
      </c>
      <c r="O123" s="143" t="str">
        <f t="shared" ca="1" si="33"/>
        <v>'BorderingSoil','_NA_'</v>
      </c>
    </row>
    <row r="124" spans="1:15">
      <c r="A124" s="140"/>
      <c r="B124" s="141">
        <v>8</v>
      </c>
      <c r="C124" s="5" t="s">
        <v>41</v>
      </c>
      <c r="D124" s="141"/>
      <c r="E124" s="5" t="s">
        <v>1051</v>
      </c>
      <c r="F124" s="5" t="s">
        <v>1052</v>
      </c>
      <c r="G124" s="5"/>
      <c r="H124" s="5"/>
      <c r="I124" s="5" t="s">
        <v>1053</v>
      </c>
      <c r="J124" s="5" t="s">
        <v>1248</v>
      </c>
      <c r="K124" s="5"/>
      <c r="L124" s="5"/>
      <c r="M124" t="str">
        <f t="shared" si="31"/>
        <v>"_NA_": not available / not applicable</v>
      </c>
      <c r="N124" t="str">
        <f t="shared" si="32"/>
        <v>"_NA_" (k.A.): keine Angaben / unbekannt</v>
      </c>
      <c r="O124" s="143" t="str">
        <f t="shared" ca="1" si="33"/>
        <v>'_NA_'</v>
      </c>
    </row>
    <row r="125" spans="1:15" ht="19.5" customHeight="1">
      <c r="A125" s="133" t="s">
        <v>421</v>
      </c>
      <c r="B125" s="134"/>
      <c r="C125" s="135"/>
      <c r="D125" s="136">
        <v>5</v>
      </c>
      <c r="E125" s="137" t="s">
        <v>2108</v>
      </c>
      <c r="F125" s="137"/>
      <c r="G125" s="137"/>
      <c r="H125" s="137"/>
      <c r="I125" s="137" t="s">
        <v>2109</v>
      </c>
      <c r="J125" s="137"/>
      <c r="K125" s="137"/>
      <c r="L125" s="137"/>
      <c r="M125" s="138" t="str">
        <f>"Pre-defined codes:"</f>
        <v>Pre-defined codes:</v>
      </c>
      <c r="N125" s="138" t="str">
        <f>"festgelegte Codes:"</f>
        <v>festgelegte Codes:</v>
      </c>
      <c r="O125" s="143" t="str">
        <f t="shared" ref="O125:O130" ca="1" si="35">IF(C125&lt;&gt;"","'"&amp;C125&amp;"'"&amp;IF(OFFSET(O125,1,0)&lt;&gt;"",","&amp;OFFSET(O125,1,0),""),"")</f>
        <v/>
      </c>
    </row>
    <row r="126" spans="1:15">
      <c r="A126" s="140"/>
      <c r="B126" s="141">
        <v>1</v>
      </c>
      <c r="C126" s="5" t="s">
        <v>435</v>
      </c>
      <c r="D126" s="141"/>
      <c r="E126" s="5" t="s">
        <v>1484</v>
      </c>
      <c r="F126" s="5" t="s">
        <v>2104</v>
      </c>
      <c r="G126" s="5"/>
      <c r="H126" s="5"/>
      <c r="I126" s="5" t="s">
        <v>438</v>
      </c>
      <c r="J126" s="5" t="s">
        <v>2111</v>
      </c>
      <c r="K126" s="5"/>
      <c r="L126" s="5"/>
      <c r="M126" t="str">
        <f>""""&amp;$C126&amp;""": "&amp;$E126&amp;IF(F126&lt;&gt;""," / "&amp;F126,"")</f>
        <v>"Ext": External air / Construction bordering on external air</v>
      </c>
      <c r="N126" t="str">
        <f>""""&amp;$C126&amp;""": "&amp;$I126&amp;IF(J126&lt;&gt;""," / "&amp;J126,"")</f>
        <v>"Ext": Außenluft / thermische Hülle grenzt an Außenluft</v>
      </c>
      <c r="O126" s="143" t="str">
        <f t="shared" ca="1" si="35"/>
        <v>'Ext','Unh','Cellar','Soil','_NA_'</v>
      </c>
    </row>
    <row r="127" spans="1:15" ht="20.399999999999999">
      <c r="A127" s="140"/>
      <c r="B127" s="141">
        <v>2</v>
      </c>
      <c r="C127" s="5" t="s">
        <v>440</v>
      </c>
      <c r="D127" s="141"/>
      <c r="E127" s="5" t="s">
        <v>2102</v>
      </c>
      <c r="F127" s="5" t="s">
        <v>2105</v>
      </c>
      <c r="G127" s="5"/>
      <c r="H127" s="5"/>
      <c r="I127" s="5" t="s">
        <v>2110</v>
      </c>
      <c r="J127" s="5" t="s">
        <v>2114</v>
      </c>
      <c r="K127" s="5"/>
      <c r="L127" s="5"/>
      <c r="M127" t="str">
        <f t="shared" ref="M127:M128" si="36">""""&amp;$C127&amp;""": "&amp;$E127&amp;IF(F127&lt;&gt;""," / "&amp;F127,"")</f>
        <v xml:space="preserve">"Unh": Unheated space / Construction bordering on unheated rooms (e.g. unheated attic) </v>
      </c>
      <c r="N127" t="str">
        <f t="shared" ref="N127:N128" si="37">""""&amp;$C127&amp;""": "&amp;$I127&amp;IF(J127&lt;&gt;""," / "&amp;J127,"")</f>
        <v>"Unh": unbeheizter Bereich / thermische Hülle grenzt an unbeheizten Bereich</v>
      </c>
      <c r="O127" s="143" t="str">
        <f t="shared" ca="1" si="35"/>
        <v>'Unh','Cellar','Soil','_NA_'</v>
      </c>
    </row>
    <row r="128" spans="1:15" ht="20.399999999999999">
      <c r="A128" s="140"/>
      <c r="B128" s="141">
        <v>3</v>
      </c>
      <c r="C128" s="5" t="s">
        <v>445</v>
      </c>
      <c r="D128" s="141"/>
      <c r="E128" s="5" t="s">
        <v>2103</v>
      </c>
      <c r="F128" s="5" t="s">
        <v>2106</v>
      </c>
      <c r="G128" s="5"/>
      <c r="H128" s="5"/>
      <c r="I128" s="5" t="s">
        <v>448</v>
      </c>
      <c r="J128" s="5" t="s">
        <v>2113</v>
      </c>
      <c r="K128" s="5"/>
      <c r="L128" s="5"/>
      <c r="M128" t="str">
        <f t="shared" si="36"/>
        <v>"Cellar": Unheated cellar / Construction bordering on unheated cellar</v>
      </c>
      <c r="N128" t="str">
        <f t="shared" si="37"/>
        <v>"Cellar": unbeheizter Keller / thermische Hülle grenzt an unbeheizten Keller</v>
      </c>
      <c r="O128" s="143" t="str">
        <f t="shared" ca="1" si="35"/>
        <v>'Cellar','Soil','_NA_'</v>
      </c>
    </row>
    <row r="129" spans="1:15">
      <c r="A129" s="140"/>
      <c r="B129" s="141">
        <v>4</v>
      </c>
      <c r="C129" s="5" t="s">
        <v>450</v>
      </c>
      <c r="D129" s="141"/>
      <c r="E129" s="5" t="s">
        <v>450</v>
      </c>
      <c r="F129" s="5" t="s">
        <v>2107</v>
      </c>
      <c r="G129" s="5"/>
      <c r="H129" s="5"/>
      <c r="I129" s="5" t="s">
        <v>453</v>
      </c>
      <c r="J129" s="5" t="s">
        <v>2112</v>
      </c>
      <c r="K129" s="5"/>
      <c r="L129" s="5"/>
      <c r="M129" t="str">
        <f>""""&amp;$C129&amp;""": "&amp;$E129&amp;IF(F129&lt;&gt;""," / "&amp;F129,"")</f>
        <v>"Soil": Soil / Construction bordering on soil</v>
      </c>
      <c r="N129" t="str">
        <f>""""&amp;$C129&amp;""": "&amp;$I129&amp;IF(J129&lt;&gt;""," / "&amp;J129,"")</f>
        <v>"Soil": Erdreich / thermische Hülle grenzt an Erdreich</v>
      </c>
      <c r="O129" s="143" t="str">
        <f t="shared" ca="1" si="35"/>
        <v>'Soil','_NA_'</v>
      </c>
    </row>
    <row r="130" spans="1:15">
      <c r="A130" s="140"/>
      <c r="B130" s="141">
        <v>5</v>
      </c>
      <c r="C130" s="5" t="s">
        <v>41</v>
      </c>
      <c r="D130" s="141"/>
      <c r="E130" s="5" t="s">
        <v>1051</v>
      </c>
      <c r="F130" s="5" t="s">
        <v>1424</v>
      </c>
      <c r="G130" s="5"/>
      <c r="H130" s="5"/>
      <c r="I130" s="5" t="s">
        <v>1053</v>
      </c>
      <c r="J130" s="5" t="s">
        <v>1248</v>
      </c>
      <c r="K130" s="5"/>
      <c r="L130" s="5"/>
      <c r="M130" t="str">
        <f t="shared" ref="M130" si="38">""""&amp;$C130&amp;""": "&amp;$E130&amp;IF(F130&lt;&gt;""," / "&amp;F130,"")</f>
        <v>"_NA_": N/A / Not available / not applicable</v>
      </c>
      <c r="N130" t="str">
        <f t="shared" ref="N130" si="39">""""&amp;$C130&amp;""": "&amp;$I130&amp;IF(J130&lt;&gt;""," / "&amp;J130,"")</f>
        <v>"_NA_": k.A. / keine Angaben / unbekannt</v>
      </c>
      <c r="O130" s="143" t="str">
        <f t="shared" ca="1" si="35"/>
        <v>'_NA_'</v>
      </c>
    </row>
    <row r="131" spans="1:15" ht="19.5" customHeight="1">
      <c r="A131" s="133" t="s">
        <v>56</v>
      </c>
      <c r="B131" s="134"/>
      <c r="C131" s="135"/>
      <c r="D131" s="136">
        <v>4</v>
      </c>
      <c r="E131" s="137" t="s">
        <v>1292</v>
      </c>
      <c r="F131" s="137"/>
      <c r="G131" s="137"/>
      <c r="H131" s="137"/>
      <c r="I131" s="137" t="s">
        <v>1293</v>
      </c>
      <c r="J131" s="137"/>
      <c r="K131" s="137"/>
      <c r="L131" s="137"/>
      <c r="M131" s="138" t="str">
        <f>"Pre-defined codes:"</f>
        <v>Pre-defined codes:</v>
      </c>
      <c r="N131" s="138" t="str">
        <f>"festgelegte Codes:"</f>
        <v>festgelegte Codes:</v>
      </c>
      <c r="O131" s="143" t="str">
        <f t="shared" ca="1" si="9"/>
        <v/>
      </c>
    </row>
    <row r="132" spans="1:15">
      <c r="A132" s="140"/>
      <c r="B132" s="141">
        <v>1</v>
      </c>
      <c r="C132" s="5" t="s">
        <v>167</v>
      </c>
      <c r="D132" s="141"/>
      <c r="E132" s="5" t="s">
        <v>167</v>
      </c>
      <c r="F132" s="5" t="s">
        <v>1294</v>
      </c>
      <c r="G132" s="5"/>
      <c r="H132" s="5"/>
      <c r="I132" s="5" t="s">
        <v>1295</v>
      </c>
      <c r="J132" s="5" t="s">
        <v>1296</v>
      </c>
      <c r="K132" s="5"/>
      <c r="L132" s="5"/>
      <c r="M132" t="str">
        <f>""""&amp;$C132&amp;""": "&amp;$F132&amp;IF(G132&lt;&gt;""," / "&amp;G132,"")</f>
        <v>"None": No insulation</v>
      </c>
      <c r="N132" t="str">
        <f>""""&amp;$C132&amp;""" ("&amp;I132&amp;"): "&amp;$J132&amp;IF(L132&lt;&gt;""," / "&amp;L132,"")</f>
        <v>"None" (keine): keine Dämmung</v>
      </c>
      <c r="O132" s="143" t="str">
        <f t="shared" ca="1" si="9"/>
        <v>'None','Original','Refurbish','_NA_'</v>
      </c>
    </row>
    <row r="133" spans="1:15" ht="20.399999999999999">
      <c r="A133" s="140"/>
      <c r="B133" s="141">
        <v>2</v>
      </c>
      <c r="C133" s="5" t="s">
        <v>204</v>
      </c>
      <c r="D133" s="141"/>
      <c r="E133" s="5" t="s">
        <v>204</v>
      </c>
      <c r="F133" s="5" t="s">
        <v>1297</v>
      </c>
      <c r="G133" s="5"/>
      <c r="H133" s="5"/>
      <c r="I133" s="5" t="s">
        <v>1298</v>
      </c>
      <c r="J133" s="5" t="s">
        <v>1299</v>
      </c>
      <c r="K133" s="5"/>
      <c r="L133" s="5"/>
      <c r="M133" t="str">
        <f t="shared" ref="M133:M135" si="40">""""&amp;$C133&amp;""": "&amp;$F133&amp;IF(G133&lt;&gt;""," / "&amp;G133,"")</f>
        <v>"Original": Insulation installed during construction of building</v>
      </c>
      <c r="N133" t="str">
        <f t="shared" ref="N133:N135" si="41">""""&amp;$C133&amp;""" ("&amp;I133&amp;"): "&amp;$J133&amp;IF(L133&lt;&gt;""," / "&amp;L133,"")</f>
        <v>"Original" (original): Dämmung eingebaut bei Errichtung des Gebäudes</v>
      </c>
      <c r="O133" s="143" t="str">
        <f t="shared" ca="1" si="9"/>
        <v>'Original','Refurbish','_NA_'</v>
      </c>
    </row>
    <row r="134" spans="1:15" ht="20.399999999999999">
      <c r="A134" s="140"/>
      <c r="B134" s="141">
        <v>3</v>
      </c>
      <c r="C134" s="5" t="s">
        <v>58</v>
      </c>
      <c r="D134" s="141"/>
      <c r="E134" s="5" t="s">
        <v>1300</v>
      </c>
      <c r="F134" s="5" t="s">
        <v>1301</v>
      </c>
      <c r="G134" s="5"/>
      <c r="H134" s="5"/>
      <c r="I134" s="5" t="s">
        <v>1302</v>
      </c>
      <c r="J134" s="5" t="s">
        <v>1303</v>
      </c>
      <c r="K134" s="5"/>
      <c r="L134" s="5"/>
      <c r="M134" t="str">
        <f t="shared" si="40"/>
        <v>"Refurbish": Insulation installed during refurbishment</v>
      </c>
      <c r="N134" t="str">
        <f t="shared" si="41"/>
        <v>"Refurbish" (Modernisierung): Dämmung eingebaut bei Modernisierung</v>
      </c>
      <c r="O134" s="143" t="str">
        <f t="shared" ca="1" si="9"/>
        <v>'Refurbish','_NA_'</v>
      </c>
    </row>
    <row r="135" spans="1:15">
      <c r="A135" s="140"/>
      <c r="B135" s="141">
        <v>4</v>
      </c>
      <c r="C135" s="5" t="s">
        <v>41</v>
      </c>
      <c r="D135" s="141"/>
      <c r="E135" s="5" t="s">
        <v>1051</v>
      </c>
      <c r="F135" s="5" t="s">
        <v>1424</v>
      </c>
      <c r="G135" s="5"/>
      <c r="H135" s="5"/>
      <c r="I135" s="5" t="s">
        <v>1053</v>
      </c>
      <c r="J135" s="5" t="s">
        <v>1248</v>
      </c>
      <c r="K135" s="5"/>
      <c r="L135" s="5"/>
      <c r="M135" t="str">
        <f t="shared" si="40"/>
        <v>"_NA_": Not available / not applicable</v>
      </c>
      <c r="N135" t="str">
        <f t="shared" si="41"/>
        <v>"_NA_" (k.A.): keine Angaben / unbekannt</v>
      </c>
      <c r="O135" s="143" t="str">
        <f t="shared" ca="1" si="9"/>
        <v>'_NA_'</v>
      </c>
    </row>
    <row r="136" spans="1:15" ht="19.5" customHeight="1">
      <c r="A136" s="133" t="s">
        <v>57</v>
      </c>
      <c r="B136" s="134"/>
      <c r="C136" s="135"/>
      <c r="D136" s="136">
        <v>4</v>
      </c>
      <c r="E136" s="137" t="s">
        <v>1304</v>
      </c>
      <c r="F136" s="137"/>
      <c r="G136" s="137"/>
      <c r="H136" s="137"/>
      <c r="I136" s="137" t="s">
        <v>1305</v>
      </c>
      <c r="J136" s="137"/>
      <c r="K136" s="137"/>
      <c r="L136" s="137"/>
      <c r="M136" s="138" t="str">
        <f>"Pre-defined codes:"</f>
        <v>Pre-defined codes:</v>
      </c>
      <c r="N136" s="138" t="str">
        <f>"festgelegte Codes:"</f>
        <v>festgelegte Codes:</v>
      </c>
      <c r="O136" s="143" t="str">
        <f t="shared" ca="1" si="9"/>
        <v/>
      </c>
    </row>
    <row r="137" spans="1:15">
      <c r="A137" s="140"/>
      <c r="B137" s="141">
        <v>1</v>
      </c>
      <c r="C137" s="5" t="s">
        <v>59</v>
      </c>
      <c r="D137" s="141"/>
      <c r="E137" s="5" t="s">
        <v>1306</v>
      </c>
      <c r="F137" s="5" t="s">
        <v>1307</v>
      </c>
      <c r="G137" s="5"/>
      <c r="H137" s="5"/>
      <c r="I137" s="5" t="s">
        <v>1308</v>
      </c>
      <c r="J137" s="5" t="s">
        <v>1309</v>
      </c>
      <c r="K137" s="5"/>
      <c r="L137" s="5"/>
      <c r="M137" t="str">
        <f>""""&amp;$C137&amp;""": "&amp;$F137&amp;IF(G137&lt;&gt;""," / "&amp;G137,"")</f>
        <v>"Add": additional insulation</v>
      </c>
      <c r="N137" t="str">
        <f>""""&amp;$C137&amp;""": "&amp;$J137&amp;IF(K137&lt;&gt;""," / "&amp;K137,"")</f>
        <v>"Add": zusätzliche Dämmung</v>
      </c>
      <c r="O137" s="143" t="str">
        <f t="shared" ca="1" si="9"/>
        <v>'Add','Replace','ReplaceInsulation','_NA_'</v>
      </c>
    </row>
    <row r="138" spans="1:15">
      <c r="A138" s="140"/>
      <c r="B138" s="141">
        <v>2</v>
      </c>
      <c r="C138" s="5" t="s">
        <v>1310</v>
      </c>
      <c r="D138" s="141"/>
      <c r="E138" s="5" t="s">
        <v>1311</v>
      </c>
      <c r="F138" s="5" t="s">
        <v>1312</v>
      </c>
      <c r="G138" s="5"/>
      <c r="H138" s="5"/>
      <c r="I138" s="5" t="s">
        <v>1313</v>
      </c>
      <c r="J138" s="5" t="s">
        <v>1314</v>
      </c>
      <c r="K138" s="5"/>
      <c r="L138" s="5"/>
      <c r="M138" t="str">
        <f t="shared" ref="M138:M140" si="42">""""&amp;$C138&amp;""": "&amp;$F138&amp;IF(G138&lt;&gt;""," / "&amp;G138,"")</f>
        <v>"Replace": existing construction replaced</v>
      </c>
      <c r="N138" t="str">
        <f t="shared" ref="N138:N140" si="43">""""&amp;$C138&amp;""": "&amp;$J138&amp;IF(K138&lt;&gt;""," / "&amp;K138,"")</f>
        <v>"Replace": vorhandene Konstruktion ausgetauscht</v>
      </c>
      <c r="O138" s="143" t="str">
        <f t="shared" ca="1" si="9"/>
        <v>'Replace','ReplaceInsulation','_NA_'</v>
      </c>
    </row>
    <row r="139" spans="1:15">
      <c r="A139" s="140"/>
      <c r="B139" s="141">
        <v>3</v>
      </c>
      <c r="C139" s="5" t="s">
        <v>1315</v>
      </c>
      <c r="D139" s="141"/>
      <c r="E139" s="5" t="s">
        <v>1316</v>
      </c>
      <c r="F139" s="5" t="s">
        <v>1317</v>
      </c>
      <c r="G139" s="5"/>
      <c r="H139" s="5"/>
      <c r="I139" s="5" t="s">
        <v>1318</v>
      </c>
      <c r="J139" s="5" t="s">
        <v>1319</v>
      </c>
      <c r="K139" s="5"/>
      <c r="L139" s="5"/>
      <c r="M139" t="str">
        <f t="shared" si="42"/>
        <v>"ReplaceInsulation": existing insulation replaced</v>
      </c>
      <c r="N139" t="str">
        <f t="shared" si="43"/>
        <v>"ReplaceInsulation": vorhandene Dämmung ausgetauscht</v>
      </c>
      <c r="O139" s="143" t="str">
        <f t="shared" ca="1" si="9"/>
        <v>'ReplaceInsulation','_NA_'</v>
      </c>
    </row>
    <row r="140" spans="1:15">
      <c r="A140" s="140"/>
      <c r="B140" s="141">
        <v>4</v>
      </c>
      <c r="C140" s="5" t="s">
        <v>41</v>
      </c>
      <c r="D140" s="141"/>
      <c r="E140" s="5" t="s">
        <v>1051</v>
      </c>
      <c r="F140" s="5" t="s">
        <v>1424</v>
      </c>
      <c r="G140" s="5"/>
      <c r="H140" s="5"/>
      <c r="I140" s="5" t="s">
        <v>1053</v>
      </c>
      <c r="J140" s="5" t="s">
        <v>1248</v>
      </c>
      <c r="K140" s="5"/>
      <c r="L140" s="5"/>
      <c r="M140" t="str">
        <f t="shared" si="42"/>
        <v>"_NA_": Not available / not applicable</v>
      </c>
      <c r="N140" t="str">
        <f t="shared" si="43"/>
        <v>"_NA_": keine Angaben / unbekannt</v>
      </c>
      <c r="O140" s="143" t="str">
        <f t="shared" ca="1" si="9"/>
        <v>'_NA_'</v>
      </c>
    </row>
    <row r="141" spans="1:15" ht="19.5" customHeight="1">
      <c r="A141" s="133" t="s">
        <v>1320</v>
      </c>
      <c r="B141" s="134"/>
      <c r="C141" s="135"/>
      <c r="D141" s="136">
        <v>4</v>
      </c>
      <c r="E141" s="137" t="s">
        <v>1321</v>
      </c>
      <c r="F141" s="137"/>
      <c r="G141" s="137"/>
      <c r="H141" s="137"/>
      <c r="I141" s="137" t="s">
        <v>1322</v>
      </c>
      <c r="J141" s="137"/>
      <c r="K141" s="137"/>
      <c r="L141" s="137"/>
      <c r="M141" s="138" t="str">
        <f t="shared" ref="M141" si="44">"Pre-defined codes:"</f>
        <v>Pre-defined codes:</v>
      </c>
      <c r="N141" s="138" t="str">
        <f t="shared" ref="N141" si="45">"festgelegte Codes:"</f>
        <v>festgelegte Codes:</v>
      </c>
      <c r="O141" s="143" t="str">
        <f t="shared" ca="1" si="9"/>
        <v/>
      </c>
    </row>
    <row r="142" spans="1:15">
      <c r="A142" s="140"/>
      <c r="B142" s="141">
        <v>1</v>
      </c>
      <c r="C142" s="5" t="s">
        <v>1323</v>
      </c>
      <c r="D142" s="141"/>
      <c r="E142" s="5" t="s">
        <v>1058</v>
      </c>
      <c r="F142" s="5" t="s">
        <v>1323</v>
      </c>
      <c r="G142" s="5"/>
      <c r="H142" s="5"/>
      <c r="I142" s="5" t="s">
        <v>1059</v>
      </c>
      <c r="J142" s="5" t="s">
        <v>1324</v>
      </c>
      <c r="K142" s="5"/>
      <c r="L142" s="5"/>
      <c r="M142" t="str">
        <f>""""&amp;$C142&amp;""": "&amp;$F142&amp;IF(G142&lt;&gt;""," / "&amp;G142,"")</f>
        <v>"Possible": Possible</v>
      </c>
      <c r="N142" t="str">
        <f>""""&amp;$C142&amp;""": "&amp;$J142&amp;IF(K142&lt;&gt;""," / "&amp;K142,"")</f>
        <v>"Possible": möglich</v>
      </c>
      <c r="O142" s="143" t="str">
        <f t="shared" ca="1" si="9"/>
        <v>'Possible','PartlyPossible','NotPossible','_NA_'</v>
      </c>
    </row>
    <row r="143" spans="1:15">
      <c r="A143" s="140"/>
      <c r="B143" s="141">
        <v>2</v>
      </c>
      <c r="C143" s="5" t="s">
        <v>1325</v>
      </c>
      <c r="D143" s="141"/>
      <c r="E143" s="5" t="s">
        <v>1326</v>
      </c>
      <c r="F143" s="5" t="s">
        <v>1327</v>
      </c>
      <c r="G143" s="5"/>
      <c r="H143" s="5"/>
      <c r="I143" s="5" t="s">
        <v>1328</v>
      </c>
      <c r="J143" s="5" t="s">
        <v>1329</v>
      </c>
      <c r="K143" s="5"/>
      <c r="L143" s="5"/>
      <c r="M143" t="str">
        <f t="shared" ref="M143:M145" si="46">""""&amp;$C143&amp;""": "&amp;$F143&amp;IF(G143&lt;&gt;""," / "&amp;G143,"")</f>
        <v>"PartlyPossible": Partly Possible</v>
      </c>
      <c r="N143" t="str">
        <f t="shared" ref="N143:N145" si="47">""""&amp;$C143&amp;""": "&amp;$J143&amp;IF(K143&lt;&gt;""," / "&amp;K143,"")</f>
        <v>"PartlyPossible": teilweise möglich</v>
      </c>
      <c r="O143" s="143" t="str">
        <f t="shared" ca="1" si="9"/>
        <v>'PartlyPossible','NotPossible','_NA_'</v>
      </c>
    </row>
    <row r="144" spans="1:15">
      <c r="A144" s="140"/>
      <c r="B144" s="141">
        <v>3</v>
      </c>
      <c r="C144" s="5" t="s">
        <v>1330</v>
      </c>
      <c r="D144" s="141"/>
      <c r="E144" s="5" t="s">
        <v>1060</v>
      </c>
      <c r="F144" s="5" t="s">
        <v>1331</v>
      </c>
      <c r="G144" s="5"/>
      <c r="H144" s="5"/>
      <c r="I144" s="5" t="s">
        <v>1061</v>
      </c>
      <c r="J144" s="5" t="s">
        <v>1332</v>
      </c>
      <c r="K144" s="5"/>
      <c r="L144" s="5"/>
      <c r="M144" t="str">
        <f t="shared" si="46"/>
        <v>"NotPossible": Not Possible</v>
      </c>
      <c r="N144" t="str">
        <f t="shared" si="47"/>
        <v>"NotPossible": nicht möglich</v>
      </c>
      <c r="O144" s="143" t="str">
        <f t="shared" ca="1" si="9"/>
        <v>'NotPossible','_NA_'</v>
      </c>
    </row>
    <row r="145" spans="1:15">
      <c r="A145" s="140"/>
      <c r="B145" s="141">
        <v>4</v>
      </c>
      <c r="C145" s="5" t="s">
        <v>41</v>
      </c>
      <c r="D145" s="141"/>
      <c r="E145" s="5" t="s">
        <v>1333</v>
      </c>
      <c r="F145" s="5" t="s">
        <v>1333</v>
      </c>
      <c r="G145" s="5"/>
      <c r="H145" s="5"/>
      <c r="I145" s="5" t="s">
        <v>1334</v>
      </c>
      <c r="J145" s="5" t="s">
        <v>1334</v>
      </c>
      <c r="K145" s="5"/>
      <c r="L145" s="5"/>
      <c r="M145" t="str">
        <f t="shared" si="46"/>
        <v>"_NA_": Not applicable / unknown</v>
      </c>
      <c r="N145" t="str">
        <f t="shared" si="47"/>
        <v>"_NA_": k.A. / unbekannt</v>
      </c>
      <c r="O145" s="143" t="str">
        <f t="shared" ca="1" si="9"/>
        <v>'_NA_'</v>
      </c>
    </row>
    <row r="146" spans="1:15" ht="19.5" customHeight="1">
      <c r="A146" s="133" t="s">
        <v>1335</v>
      </c>
      <c r="B146" s="134"/>
      <c r="C146" s="135"/>
      <c r="D146" s="136">
        <v>5</v>
      </c>
      <c r="E146" s="137" t="s">
        <v>1336</v>
      </c>
      <c r="F146" s="137"/>
      <c r="G146" s="137"/>
      <c r="H146" s="137"/>
      <c r="I146" s="137" t="s">
        <v>1337</v>
      </c>
      <c r="J146" s="137"/>
      <c r="K146" s="137"/>
      <c r="L146" s="137"/>
      <c r="M146" s="138" t="str">
        <f>"Pre-defined codes:"</f>
        <v>Pre-defined codes:</v>
      </c>
      <c r="N146" s="138" t="str">
        <f>"festgelegte Codes:"</f>
        <v>festgelegte Codes:</v>
      </c>
      <c r="O146" s="143" t="str">
        <f t="shared" ca="1" si="9"/>
        <v/>
      </c>
    </row>
    <row r="147" spans="1:15">
      <c r="A147" s="140"/>
      <c r="B147" s="141">
        <v>1</v>
      </c>
      <c r="C147" s="5" t="s">
        <v>1338</v>
      </c>
      <c r="D147" s="141"/>
      <c r="E147" s="5" t="s">
        <v>1339</v>
      </c>
      <c r="F147" s="5"/>
      <c r="G147" s="5"/>
      <c r="H147" s="5"/>
      <c r="I147" s="5" t="s">
        <v>1340</v>
      </c>
      <c r="J147" s="5"/>
      <c r="K147" s="5"/>
      <c r="L147" s="5"/>
      <c r="M147" t="str">
        <f>""""&amp;$C147&amp;""": "&amp;$E147&amp;IF(F147&lt;&gt;""," / "&amp;F147,"")</f>
        <v>"1p": Single-pane</v>
      </c>
      <c r="N147" t="str">
        <f>""""&amp;$C147&amp;""": "&amp;$I147&amp;IF(J147&lt;&gt;""," / "&amp;J147,"")</f>
        <v>"1p": 1 Scheibe</v>
      </c>
      <c r="O147" s="143" t="str">
        <f t="shared" ca="1" si="9"/>
        <v>'1p','2p','3p','4p','_NA_'</v>
      </c>
    </row>
    <row r="148" spans="1:15">
      <c r="A148" s="140"/>
      <c r="B148" s="141">
        <v>2</v>
      </c>
      <c r="C148" s="5" t="s">
        <v>1341</v>
      </c>
      <c r="D148" s="141"/>
      <c r="E148" s="5" t="s">
        <v>1342</v>
      </c>
      <c r="F148" s="5"/>
      <c r="G148" s="5"/>
      <c r="H148" s="5"/>
      <c r="I148" s="5" t="s">
        <v>1343</v>
      </c>
      <c r="J148" s="5"/>
      <c r="K148" s="5"/>
      <c r="L148" s="5"/>
      <c r="M148" t="str">
        <f t="shared" ref="M148:M151" si="48">""""&amp;$C148&amp;""": "&amp;$E148&amp;IF(F148&lt;&gt;""," / "&amp;F148,"")</f>
        <v>"2p": Double-pane</v>
      </c>
      <c r="N148" t="str">
        <f t="shared" ref="N148:N151" si="49">""""&amp;$C148&amp;""": "&amp;$I148&amp;IF(J148&lt;&gt;""," / "&amp;J148,"")</f>
        <v>"2p": 2 Scheiben</v>
      </c>
      <c r="O148" s="143" t="str">
        <f t="shared" ca="1" si="9"/>
        <v>'2p','3p','4p','_NA_'</v>
      </c>
    </row>
    <row r="149" spans="1:15">
      <c r="A149" s="140"/>
      <c r="B149" s="141">
        <v>3</v>
      </c>
      <c r="C149" s="5" t="s">
        <v>1344</v>
      </c>
      <c r="D149" s="141"/>
      <c r="E149" s="5" t="s">
        <v>1345</v>
      </c>
      <c r="F149" s="5"/>
      <c r="G149" s="5"/>
      <c r="H149" s="5"/>
      <c r="I149" s="5" t="s">
        <v>1346</v>
      </c>
      <c r="J149" s="5"/>
      <c r="K149" s="5"/>
      <c r="L149" s="5"/>
      <c r="M149" t="str">
        <f t="shared" si="48"/>
        <v>"3p": Triple-pane</v>
      </c>
      <c r="N149" t="str">
        <f t="shared" si="49"/>
        <v>"3p": 3 Scheiben</v>
      </c>
      <c r="O149" s="143" t="str">
        <f t="shared" ca="1" si="9"/>
        <v>'3p','4p','_NA_'</v>
      </c>
    </row>
    <row r="150" spans="1:15">
      <c r="A150" s="140"/>
      <c r="B150" s="141">
        <v>4</v>
      </c>
      <c r="C150" s="5" t="s">
        <v>1347</v>
      </c>
      <c r="D150" s="141"/>
      <c r="E150" s="5" t="s">
        <v>1348</v>
      </c>
      <c r="F150" s="5"/>
      <c r="G150" s="5"/>
      <c r="H150" s="5"/>
      <c r="I150" s="5" t="s">
        <v>1349</v>
      </c>
      <c r="J150" s="5"/>
      <c r="K150" s="5"/>
      <c r="L150" s="5"/>
      <c r="M150" t="str">
        <f>""""&amp;$C150&amp;""": "&amp;$E150&amp;IF(F150&lt;&gt;""," / "&amp;F150,"")</f>
        <v>"4p": Quad-pane</v>
      </c>
      <c r="N150" t="str">
        <f>""""&amp;$C150&amp;""": "&amp;$I150&amp;IF(J150&lt;&gt;""," / "&amp;J150,"")</f>
        <v>"4p": 4 Scheiben</v>
      </c>
      <c r="O150" s="143" t="str">
        <f t="shared" ca="1" si="9"/>
        <v>'4p','_NA_'</v>
      </c>
    </row>
    <row r="151" spans="1:15">
      <c r="A151" s="140"/>
      <c r="B151" s="141">
        <v>5</v>
      </c>
      <c r="C151" s="5" t="s">
        <v>41</v>
      </c>
      <c r="D151" s="141"/>
      <c r="E151" s="5" t="s">
        <v>1051</v>
      </c>
      <c r="F151" s="5" t="s">
        <v>1052</v>
      </c>
      <c r="G151" s="5"/>
      <c r="H151" s="5"/>
      <c r="I151" s="5" t="s">
        <v>1053</v>
      </c>
      <c r="J151" s="5" t="s">
        <v>1248</v>
      </c>
      <c r="K151" s="5"/>
      <c r="L151" s="5"/>
      <c r="M151" t="str">
        <f t="shared" si="48"/>
        <v>"_NA_": N/A / not available / not applicable</v>
      </c>
      <c r="N151" t="str">
        <f t="shared" si="49"/>
        <v>"_NA_": k.A. / keine Angaben / unbekannt</v>
      </c>
      <c r="O151" s="143" t="str">
        <f t="shared" ca="1" si="9"/>
        <v>'_NA_'</v>
      </c>
    </row>
    <row r="152" spans="1:15" ht="19.5" customHeight="1">
      <c r="A152" s="133" t="s">
        <v>1350</v>
      </c>
      <c r="B152" s="134"/>
      <c r="C152" s="135"/>
      <c r="D152" s="136">
        <v>5</v>
      </c>
      <c r="E152" s="137" t="s">
        <v>1351</v>
      </c>
      <c r="F152" s="137"/>
      <c r="G152" s="137"/>
      <c r="H152" s="137"/>
      <c r="I152" s="137" t="s">
        <v>1352</v>
      </c>
      <c r="J152" s="137"/>
      <c r="K152" s="137"/>
      <c r="L152" s="137"/>
      <c r="M152" s="138" t="str">
        <f>"Pre-defined codes:"</f>
        <v>Pre-defined codes:</v>
      </c>
      <c r="N152" s="138" t="str">
        <f>"festgelegte Codes:"</f>
        <v>festgelegte Codes:</v>
      </c>
      <c r="O152" s="143" t="str">
        <f t="shared" ca="1" si="9"/>
        <v/>
      </c>
    </row>
    <row r="153" spans="1:15">
      <c r="A153" s="140"/>
      <c r="B153" s="141">
        <v>1</v>
      </c>
      <c r="C153" s="5" t="s">
        <v>1353</v>
      </c>
      <c r="D153" s="141"/>
      <c r="E153" s="5" t="s">
        <v>1353</v>
      </c>
      <c r="F153" s="5"/>
      <c r="G153" s="5"/>
      <c r="H153" s="5"/>
      <c r="I153" s="5" t="s">
        <v>1354</v>
      </c>
      <c r="J153" s="5"/>
      <c r="K153" s="5"/>
      <c r="L153" s="5"/>
      <c r="M153" t="str">
        <f>""""&amp;$C153&amp;""": "&amp;$E153&amp;IF(F153&lt;&gt;""," / "&amp;F153,"")</f>
        <v>"Wood": Wood</v>
      </c>
      <c r="N153" t="str">
        <f>""""&amp;$C153&amp;""": "&amp;$I153&amp;IF(J153&lt;&gt;""," / "&amp;J153,"")</f>
        <v>"Wood": Holzrahmen</v>
      </c>
      <c r="O153" s="143" t="str">
        <f t="shared" ca="1" si="9"/>
        <v>'Wood','Plastic','Metal','-','_NA_'</v>
      </c>
    </row>
    <row r="154" spans="1:15">
      <c r="A154" s="140"/>
      <c r="B154" s="141">
        <v>2</v>
      </c>
      <c r="C154" s="5" t="s">
        <v>1355</v>
      </c>
      <c r="D154" s="141"/>
      <c r="E154" s="5" t="s">
        <v>1355</v>
      </c>
      <c r="F154" s="5"/>
      <c r="G154" s="5"/>
      <c r="H154" s="5"/>
      <c r="I154" s="5" t="s">
        <v>1356</v>
      </c>
      <c r="J154" s="5"/>
      <c r="K154" s="5"/>
      <c r="L154" s="5"/>
      <c r="M154" t="str">
        <f t="shared" ref="M154:M155" si="50">""""&amp;$C154&amp;""": "&amp;$E154&amp;IF(F154&lt;&gt;""," / "&amp;F154,"")</f>
        <v>"Plastic": Plastic</v>
      </c>
      <c r="N154" t="str">
        <f t="shared" ref="N154:N155" si="51">""""&amp;$C154&amp;""": "&amp;$I154&amp;IF(J154&lt;&gt;""," / "&amp;J154,"")</f>
        <v>"Plastic": Kunststoffrahmen</v>
      </c>
      <c r="O154" s="143" t="str">
        <f t="shared" ca="1" si="9"/>
        <v>'Plastic','Metal','-','_NA_'</v>
      </c>
    </row>
    <row r="155" spans="1:15">
      <c r="A155" s="140"/>
      <c r="B155" s="141">
        <v>3</v>
      </c>
      <c r="C155" s="5" t="s">
        <v>1357</v>
      </c>
      <c r="D155" s="141"/>
      <c r="E155" s="5" t="s">
        <v>1358</v>
      </c>
      <c r="F155" s="5"/>
      <c r="G155" s="5"/>
      <c r="H155" s="5"/>
      <c r="I155" s="5" t="s">
        <v>1359</v>
      </c>
      <c r="J155" s="5"/>
      <c r="K155" s="5"/>
      <c r="L155" s="5"/>
      <c r="M155" t="str">
        <f t="shared" si="50"/>
        <v>"Metal": Aluminium / steel</v>
      </c>
      <c r="N155" t="str">
        <f t="shared" si="51"/>
        <v>"Metal": Alu- oder Stahlrahmen</v>
      </c>
      <c r="O155" s="143" t="str">
        <f t="shared" ca="1" si="9"/>
        <v>'Metal','-','_NA_'</v>
      </c>
    </row>
    <row r="156" spans="1:15">
      <c r="A156" s="140"/>
      <c r="B156" s="141">
        <v>4</v>
      </c>
      <c r="C156" s="5" t="s">
        <v>1266</v>
      </c>
      <c r="D156" s="141"/>
      <c r="E156" s="5" t="s">
        <v>1360</v>
      </c>
      <c r="F156" s="5"/>
      <c r="G156" s="5"/>
      <c r="H156" s="5"/>
      <c r="I156" s="5" t="s">
        <v>1361</v>
      </c>
      <c r="J156" s="5"/>
      <c r="K156" s="5"/>
      <c r="L156" s="5"/>
      <c r="M156" t="str">
        <f>""""&amp;$C156&amp;""": "&amp;$E156&amp;IF(F156&lt;&gt;""," / "&amp;F156,"")</f>
        <v>"-": Other or unknown</v>
      </c>
      <c r="N156" t="str">
        <f>""""&amp;$C156&amp;""": "&amp;$I156&amp;IF(J156&lt;&gt;""," / "&amp;J156,"")</f>
        <v>"-": andere oder unbekannt</v>
      </c>
      <c r="O156" s="143" t="str">
        <f t="shared" ca="1" si="9"/>
        <v>'-','_NA_'</v>
      </c>
    </row>
    <row r="157" spans="1:15">
      <c r="A157" s="140"/>
      <c r="B157" s="141">
        <v>5</v>
      </c>
      <c r="C157" s="5" t="s">
        <v>41</v>
      </c>
      <c r="D157" s="141"/>
      <c r="E157" s="5" t="s">
        <v>1051</v>
      </c>
      <c r="F157" s="5" t="s">
        <v>1052</v>
      </c>
      <c r="G157" s="5"/>
      <c r="H157" s="5"/>
      <c r="I157" s="5" t="s">
        <v>1053</v>
      </c>
      <c r="J157" s="5" t="s">
        <v>1248</v>
      </c>
      <c r="K157" s="5"/>
      <c r="L157" s="5"/>
      <c r="M157" t="str">
        <f t="shared" ref="M157" si="52">""""&amp;$C157&amp;""": "&amp;$E157&amp;IF(F157&lt;&gt;""," / "&amp;F157,"")</f>
        <v>"_NA_": N/A / not available / not applicable</v>
      </c>
      <c r="N157" t="str">
        <f t="shared" ref="N157" si="53">""""&amp;$C157&amp;""": "&amp;$I157&amp;IF(J157&lt;&gt;""," / "&amp;J157,"")</f>
        <v>"_NA_": k.A. / keine Angaben / unbekannt</v>
      </c>
      <c r="O157" s="143" t="str">
        <f t="shared" ref="O157:O220" ca="1" si="54">IF(C157&lt;&gt;"","'"&amp;C157&amp;"'"&amp;IF(OFFSET(O157,1,0)&lt;&gt;"",","&amp;OFFSET(O157,1,0),""),"")</f>
        <v>'_NA_'</v>
      </c>
    </row>
    <row r="158" spans="1:15" ht="19.5" customHeight="1">
      <c r="A158" s="133" t="s">
        <v>1362</v>
      </c>
      <c r="B158" s="134"/>
      <c r="C158" s="135"/>
      <c r="D158" s="136">
        <v>6</v>
      </c>
      <c r="E158" s="137" t="s">
        <v>1363</v>
      </c>
      <c r="F158" s="137" t="s">
        <v>1364</v>
      </c>
      <c r="G158" s="137" t="s">
        <v>1365</v>
      </c>
      <c r="H158" s="137" t="s">
        <v>1366</v>
      </c>
      <c r="I158" s="137" t="s">
        <v>1367</v>
      </c>
      <c r="J158" s="137" t="s">
        <v>1368</v>
      </c>
      <c r="K158" s="137" t="s">
        <v>1369</v>
      </c>
      <c r="L158" s="137" t="s">
        <v>1370</v>
      </c>
      <c r="M158" s="138" t="str">
        <f>"Pre-defined codes (+ "&amp;F158&amp;" / "&amp;G158&amp;")"</f>
        <v>Pre-defined codes (+ Characteristics / Classification criterion: additional transmission losses, if known (related to envelope area, values based on external dimensions))</v>
      </c>
      <c r="N158" s="138" t="str">
        <f>"festgelegte Codes (+ "&amp;J158&amp;" / "&amp;K158&amp;"):"</f>
        <v>festgelegte Codes (+ Merkmale / Anhaltspunkte für Einordnung: zusätzliche Transmissionswärmeverluste, wenn bekannt (bezogen auf Hüllfläche, Werte basieren auf Außenmaß)):</v>
      </c>
      <c r="O158" s="143" t="str">
        <f t="shared" ca="1" si="54"/>
        <v/>
      </c>
    </row>
    <row r="159" spans="1:15" ht="71.400000000000006">
      <c r="A159" s="140"/>
      <c r="B159" s="141">
        <v>1</v>
      </c>
      <c r="C159" s="5" t="s">
        <v>1371</v>
      </c>
      <c r="D159" s="141"/>
      <c r="E159" s="5" t="s">
        <v>1371</v>
      </c>
      <c r="F159" s="5" t="s">
        <v>1372</v>
      </c>
      <c r="G159" s="5" t="s">
        <v>1373</v>
      </c>
      <c r="H159" s="5">
        <v>0</v>
      </c>
      <c r="I159" s="5" t="s">
        <v>1374</v>
      </c>
      <c r="J159" s="5" t="s">
        <v>1375</v>
      </c>
      <c r="K159" s="5" t="s">
        <v>1376</v>
      </c>
      <c r="L159" s="5">
        <v>0</v>
      </c>
      <c r="M159" t="str">
        <f>""""&amp;$C159&amp;""": "&amp;$F159&amp;IF(G159&lt;&gt;""," / "&amp;G159,"")</f>
        <v>"Minimal": No penetration of the envelope by constructions with much higher thermal conductivity; for example: (1) envelopes of old buildings without steel or concrete elements (2) best practice new buildings with minimised thermal bridging / ≤ 0.01 W/(m²K)</v>
      </c>
      <c r="N159" t="str">
        <f>""""&amp;$C159&amp;""" ("&amp;I159&amp;"): "&amp;$J159&amp;IF(L159&lt;&gt;""," / "&amp;L159,"")</f>
        <v>"Minimal" (minimal): keine Durchdringungen der Hüllfläche mit Elementen deutlich höhrer Wärmeleitfähigkeit; z.B.: (1) unsanierte Altbauten ohne Stahl- oder Beton-Elemente; (2) Best-Practice-Neubauten mit minimierten Wärmebrücken / 0</v>
      </c>
      <c r="O159" s="143" t="str">
        <f t="shared" ca="1" si="54"/>
        <v>'Minimal','VeryLow','Low','Medium','High','_NA_'</v>
      </c>
    </row>
    <row r="160" spans="1:15" ht="71.400000000000006">
      <c r="A160" s="140"/>
      <c r="B160" s="141">
        <v>2</v>
      </c>
      <c r="C160" s="5" t="s">
        <v>1377</v>
      </c>
      <c r="D160" s="141"/>
      <c r="E160" s="5" t="s">
        <v>1378</v>
      </c>
      <c r="F160" s="5" t="s">
        <v>1379</v>
      </c>
      <c r="G160" s="5" t="s">
        <v>1380</v>
      </c>
      <c r="H160" s="5">
        <v>0.02</v>
      </c>
      <c r="I160" s="5" t="s">
        <v>1381</v>
      </c>
      <c r="J160" s="5" t="s">
        <v>1382</v>
      </c>
      <c r="K160" s="5" t="s">
        <v>1383</v>
      </c>
      <c r="L160" s="5">
        <v>0.02</v>
      </c>
      <c r="M160" t="str">
        <f t="shared" ref="M160:M164" si="55">""""&amp;$C160&amp;""": "&amp;$F160&amp;IF(G160&lt;&gt;""," / "&amp;G160,"")</f>
        <v>"VeryLow": No relevant penetration of the envelope by constructions with much higher thermal conductivity; for example: (1) envelopes of old buildings with few steel or concrete elements (2) best practice modernisations with minimised thermal bridging / &gt; 0.01 &amp; ≤ 0.03 W/(m²K)</v>
      </c>
      <c r="N160" t="str">
        <f t="shared" ref="N160:N164" si="56">""""&amp;$C160&amp;""" ("&amp;I160&amp;"): "&amp;$J160&amp;IF(L160&lt;&gt;""," / "&amp;L160,"")</f>
        <v>"VeryLow" (sehr gering): keine relevanten Durchdringungen der Hüllfläche mit Elementen deutlich höhrer Wärmeleitfähigkeit; z.B.: (1) unsanierte Altbauten mit nur wenig Stahl- oder Beton-Elementen; (2) Best-Practice-Modernisierungen mit minimierten Wärmebrücken / 0,02</v>
      </c>
      <c r="O160" s="143" t="str">
        <f t="shared" ca="1" si="54"/>
        <v>'VeryLow','Low','Medium','High','_NA_'</v>
      </c>
    </row>
    <row r="161" spans="1:15" ht="30.6">
      <c r="A161" s="140"/>
      <c r="B161" s="141">
        <v>3</v>
      </c>
      <c r="C161" s="5" t="s">
        <v>1384</v>
      </c>
      <c r="D161" s="141"/>
      <c r="E161" s="5" t="s">
        <v>1384</v>
      </c>
      <c r="F161" s="5" t="s">
        <v>1385</v>
      </c>
      <c r="G161" s="5" t="s">
        <v>1386</v>
      </c>
      <c r="H161" s="5">
        <v>0.05</v>
      </c>
      <c r="I161" s="5" t="s">
        <v>1387</v>
      </c>
      <c r="J161" s="5" t="s">
        <v>1388</v>
      </c>
      <c r="K161" s="5" t="s">
        <v>1389</v>
      </c>
      <c r="L161" s="5">
        <v>0.05</v>
      </c>
      <c r="M161" t="str">
        <f t="shared" si="55"/>
        <v>"Low": Envelope is penetrated by constructions with higher thermal conductivity;  effect is not relevant / &gt; 0.03 &amp; ≤ 0.07 W/(m²K)</v>
      </c>
      <c r="N161" t="str">
        <f t="shared" si="56"/>
        <v>"Low" (gering): nur geringfügige Durchdringungen von Dämmschichten  / 0,05</v>
      </c>
      <c r="O161" s="143" t="str">
        <f t="shared" ca="1" si="54"/>
        <v>'Low','Medium','High','_NA_'</v>
      </c>
    </row>
    <row r="162" spans="1:15" ht="51">
      <c r="A162" s="140"/>
      <c r="B162" s="141">
        <v>4</v>
      </c>
      <c r="C162" s="5" t="s">
        <v>1390</v>
      </c>
      <c r="D162" s="141"/>
      <c r="E162" s="5" t="s">
        <v>1390</v>
      </c>
      <c r="F162" s="5" t="s">
        <v>1391</v>
      </c>
      <c r="G162" s="5" t="s">
        <v>1392</v>
      </c>
      <c r="H162" s="5">
        <v>0.1</v>
      </c>
      <c r="I162" s="5" t="s">
        <v>1393</v>
      </c>
      <c r="J162" s="5" t="s">
        <v>1394</v>
      </c>
      <c r="K162" s="5" t="s">
        <v>1395</v>
      </c>
      <c r="L162" s="5">
        <v>0.1</v>
      </c>
      <c r="M162" t="str">
        <f t="shared" si="55"/>
        <v>"Medium": Envelope is penetrated by constructions with much higher thermal conductivity;  effect is relevant; e.g. inside thermal insulation of walls in buildings with timber ceilings / &gt; 0.07 &amp; ≤ 0.12 W/(m²K)</v>
      </c>
      <c r="N162" t="str">
        <f t="shared" si="56"/>
        <v>"Medium" (mittel): relevante konstruktive Wärmebrücken; z.B. Innendämmung in Gebäuden mit Holzbalkendecken / 0,1</v>
      </c>
      <c r="O162" s="143" t="str">
        <f t="shared" ca="1" si="54"/>
        <v>'Medium','High','_NA_'</v>
      </c>
    </row>
    <row r="163" spans="1:15" ht="40.799999999999997">
      <c r="A163" s="140"/>
      <c r="B163" s="141">
        <v>5</v>
      </c>
      <c r="C163" s="5" t="s">
        <v>1396</v>
      </c>
      <c r="D163" s="141"/>
      <c r="E163" s="5" t="s">
        <v>1396</v>
      </c>
      <c r="F163" s="5" t="s">
        <v>1397</v>
      </c>
      <c r="G163" s="5" t="s">
        <v>1398</v>
      </c>
      <c r="H163" s="5">
        <v>0.15</v>
      </c>
      <c r="I163" s="5" t="s">
        <v>1399</v>
      </c>
      <c r="J163" s="5" t="s">
        <v>1400</v>
      </c>
      <c r="K163" s="5" t="s">
        <v>1401</v>
      </c>
      <c r="L163" s="5">
        <v>0.15</v>
      </c>
      <c r="M163" t="str">
        <f t="shared" si="55"/>
        <v>"High": Penetration of the envelope by constructions with much higher thermal conductivity is very relevant; e.g. concrete ceilings penetrate insulation / &gt; 0.12 W/(m²K)</v>
      </c>
      <c r="N163" t="str">
        <f t="shared" si="56"/>
        <v>"High" (hoch): sehr relevante konstruktive Wärmebrücken; z.B. Beton durchdringt Dämmebene  / 0,15</v>
      </c>
      <c r="O163" s="143" t="str">
        <f t="shared" ca="1" si="54"/>
        <v>'High','_NA_'</v>
      </c>
    </row>
    <row r="164" spans="1:15">
      <c r="A164" s="140"/>
      <c r="B164" s="141">
        <v>6</v>
      </c>
      <c r="C164" s="5" t="s">
        <v>41</v>
      </c>
      <c r="D164" s="141"/>
      <c r="E164" s="5" t="s">
        <v>1051</v>
      </c>
      <c r="F164" s="5" t="s">
        <v>1052</v>
      </c>
      <c r="G164" s="5"/>
      <c r="H164" s="5"/>
      <c r="I164" s="5" t="s">
        <v>1053</v>
      </c>
      <c r="J164" s="5" t="s">
        <v>1248</v>
      </c>
      <c r="K164" s="5"/>
      <c r="L164" s="5"/>
      <c r="M164" t="str">
        <f t="shared" si="55"/>
        <v>"_NA_": not available / not applicable</v>
      </c>
      <c r="N164" t="str">
        <f t="shared" si="56"/>
        <v>"_NA_" (k.A.): keine Angaben / unbekannt</v>
      </c>
      <c r="O164" s="143" t="str">
        <f t="shared" ca="1" si="54"/>
        <v>'_NA_'</v>
      </c>
    </row>
    <row r="165" spans="1:15" ht="19.5" customHeight="1">
      <c r="A165" s="133" t="s">
        <v>1402</v>
      </c>
      <c r="B165" s="134"/>
      <c r="C165" s="135"/>
      <c r="D165" s="136">
        <v>5</v>
      </c>
      <c r="E165" s="137" t="s">
        <v>1403</v>
      </c>
      <c r="F165" s="137" t="s">
        <v>1364</v>
      </c>
      <c r="G165" s="137" t="s">
        <v>1404</v>
      </c>
      <c r="H165" s="137" t="s">
        <v>1405</v>
      </c>
      <c r="I165" s="137"/>
      <c r="J165" s="137" t="s">
        <v>1368</v>
      </c>
      <c r="K165" s="137" t="s">
        <v>1406</v>
      </c>
      <c r="L165" s="137" t="s">
        <v>1407</v>
      </c>
      <c r="M165" s="138" t="str">
        <f>"Pre-defined codes (+ "&amp;F165&amp;" / "&amp;G165&amp;")"</f>
        <v>Pre-defined codes (+ Characteristics / Classification criterion: blower door result n_50, if measured)</v>
      </c>
      <c r="N165" s="138" t="str">
        <f>"festgelegte Codes (+ "&amp;J165&amp;" / "&amp;K165&amp;"):"</f>
        <v>festgelegte Codes (+ Merkmale / Anhaltspunkte für Einordnung: n_50, sofern Blower-Door-Messung durchgeführt wurde):</v>
      </c>
      <c r="O165" s="143" t="str">
        <f t="shared" ca="1" si="54"/>
        <v/>
      </c>
    </row>
    <row r="166" spans="1:15" ht="51">
      <c r="A166" s="140"/>
      <c r="B166" s="141">
        <v>1</v>
      </c>
      <c r="C166" s="5" t="s">
        <v>1371</v>
      </c>
      <c r="D166" s="141"/>
      <c r="E166" s="5" t="s">
        <v>1371</v>
      </c>
      <c r="F166" s="5" t="s">
        <v>1408</v>
      </c>
      <c r="G166" s="5" t="s">
        <v>1409</v>
      </c>
      <c r="H166" s="5">
        <v>0.05</v>
      </c>
      <c r="I166" s="5" t="s">
        <v>1374</v>
      </c>
      <c r="J166" s="5" t="s">
        <v>1410</v>
      </c>
      <c r="K166" s="5" t="s">
        <v>1411</v>
      </c>
      <c r="L166" s="5">
        <v>0.05</v>
      </c>
      <c r="M166" t="str">
        <f>""""&amp;$C166&amp;""": "&amp;$F166&amp;IF(G166&lt;&gt;""," / "&amp;G166,"")</f>
        <v>"Minimal": Very airtight, e.g. massive structures with very tight windows / wooden structures with airtightness concept and verification by blower door test / ≤ 0.6 1/h</v>
      </c>
      <c r="N166" t="str">
        <f t="shared" ref="N166:N170" si="57">""""&amp;$C166&amp;""" ("&amp;I166&amp;"): "&amp;$J166&amp;IF(L166&lt;&gt;""," / "&amp;L166,"")</f>
        <v>"Minimal" (minimal): sehr luftdicht; z.B. Massivbauten mit massiven Decken und sehr dichten Fenstern / Holzbauten mit Dichtheitskonzept und messtechnischer Überprüfung (Blower-Door-Messung) / 0,05</v>
      </c>
      <c r="O166" s="143" t="str">
        <f t="shared" ca="1" si="54"/>
        <v>'Minimal','Low','Medium','High','_NA_'</v>
      </c>
    </row>
    <row r="167" spans="1:15" ht="51">
      <c r="A167" s="140"/>
      <c r="B167" s="141">
        <v>2</v>
      </c>
      <c r="C167" s="5" t="s">
        <v>1384</v>
      </c>
      <c r="D167" s="141"/>
      <c r="E167" s="5" t="s">
        <v>1384</v>
      </c>
      <c r="F167" s="5" t="s">
        <v>1412</v>
      </c>
      <c r="G167" s="5" t="s">
        <v>1413</v>
      </c>
      <c r="H167" s="5">
        <v>0.1</v>
      </c>
      <c r="I167" s="5" t="s">
        <v>1387</v>
      </c>
      <c r="J167" s="5" t="s">
        <v>1414</v>
      </c>
      <c r="K167" s="5" t="s">
        <v>1415</v>
      </c>
      <c r="L167" s="5">
        <v>0.1</v>
      </c>
      <c r="M167" t="str">
        <f t="shared" ref="M167:M170" si="58">""""&amp;$C167&amp;""": "&amp;$F167&amp;IF(G167&lt;&gt;""," / "&amp;G167,"")</f>
        <v>"Low": Airtight, e.g. massive structures with tight windows / wooden structures with airtightness concept and verification by blower door test / &gt; 0.6 1/h  &amp;  ≤ 1.0 1/h</v>
      </c>
      <c r="N167" t="str">
        <f t="shared" si="57"/>
        <v>"Low" (gering): luftdicht; z.B. Massivbauten mit massiven Decken und dichten Fenstern / Holzbauten mit Dichtheitskonzept und messtechnischer Überprüfung (Blower-Door-Messung) / 0,1</v>
      </c>
      <c r="O167" s="143" t="str">
        <f t="shared" ca="1" si="54"/>
        <v>'Low','Medium','High','_NA_'</v>
      </c>
    </row>
    <row r="168" spans="1:15" ht="20.399999999999999">
      <c r="A168" s="140"/>
      <c r="B168" s="141">
        <v>3</v>
      </c>
      <c r="C168" s="5" t="s">
        <v>1390</v>
      </c>
      <c r="D168" s="141"/>
      <c r="E168" s="5" t="s">
        <v>1390</v>
      </c>
      <c r="F168" s="5" t="s">
        <v>1416</v>
      </c>
      <c r="G168" s="5" t="s">
        <v>1417</v>
      </c>
      <c r="H168" s="5">
        <v>0.2</v>
      </c>
      <c r="I168" s="5" t="s">
        <v>1393</v>
      </c>
      <c r="J168" s="5" t="s">
        <v>1418</v>
      </c>
      <c r="K168" s="5" t="s">
        <v>1419</v>
      </c>
      <c r="L168" s="5">
        <v>0.2</v>
      </c>
      <c r="M168" t="str">
        <f t="shared" si="58"/>
        <v>"Medium": Massive constructions without special measures / &gt; 1.0 1/h  &amp;  ≤ 3.0 1/h</v>
      </c>
      <c r="N168" t="str">
        <f t="shared" si="57"/>
        <v>"Medium" (mittel): Massivbauten ohne besondere Maßnahmen bzw. Bestand / 0,2</v>
      </c>
      <c r="O168" s="143" t="str">
        <f t="shared" ca="1" si="54"/>
        <v>'Medium','High','_NA_'</v>
      </c>
    </row>
    <row r="169" spans="1:15" ht="51">
      <c r="A169" s="140"/>
      <c r="B169" s="141">
        <v>4</v>
      </c>
      <c r="C169" s="5" t="s">
        <v>1396</v>
      </c>
      <c r="D169" s="141"/>
      <c r="E169" s="5" t="s">
        <v>1396</v>
      </c>
      <c r="F169" s="5" t="s">
        <v>1420</v>
      </c>
      <c r="G169" s="5" t="s">
        <v>1421</v>
      </c>
      <c r="H169" s="5">
        <v>0.4</v>
      </c>
      <c r="I169" s="5" t="s">
        <v>1399</v>
      </c>
      <c r="J169" s="5" t="s">
        <v>1422</v>
      </c>
      <c r="K169" s="5" t="s">
        <v>1423</v>
      </c>
      <c r="L169" s="5">
        <v>0.4</v>
      </c>
      <c r="M169" t="str">
        <f t="shared" si="58"/>
        <v>"High": Obvious leakages (e.g. windows without seals, attics without airtight layer) / &gt; 3.0 1/h</v>
      </c>
      <c r="N169" t="str">
        <f t="shared" si="57"/>
        <v>"High" (hoch): offensichtliche Undichtigkeiten (z.B. bei Fenstern ohne funktionstüchtige Lippendichtungen, bei beheizten Dachgeschossen mit Dachflächen ohne luftdichte Ebene) / 0,4</v>
      </c>
      <c r="O169" s="143" t="str">
        <f t="shared" ca="1" si="54"/>
        <v>'High','_NA_'</v>
      </c>
    </row>
    <row r="170" spans="1:15">
      <c r="A170" s="140"/>
      <c r="B170" s="141">
        <v>5</v>
      </c>
      <c r="C170" s="5" t="s">
        <v>41</v>
      </c>
      <c r="D170" s="141"/>
      <c r="E170" s="5" t="s">
        <v>1051</v>
      </c>
      <c r="F170" s="5" t="s">
        <v>1424</v>
      </c>
      <c r="G170" s="5"/>
      <c r="H170" s="5"/>
      <c r="I170" s="5" t="s">
        <v>1053</v>
      </c>
      <c r="J170" s="5" t="s">
        <v>1248</v>
      </c>
      <c r="K170" s="5"/>
      <c r="L170" s="5"/>
      <c r="M170" t="str">
        <f t="shared" si="58"/>
        <v>"_NA_": Not available / not applicable</v>
      </c>
      <c r="N170" t="str">
        <f t="shared" si="57"/>
        <v>"_NA_" (k.A.): keine Angaben / unbekannt</v>
      </c>
      <c r="O170" s="143" t="str">
        <f t="shared" ca="1" si="54"/>
        <v>'_NA_'</v>
      </c>
    </row>
    <row r="171" spans="1:15" ht="19.5" customHeight="1">
      <c r="A171" s="133" t="s">
        <v>1425</v>
      </c>
      <c r="B171" s="134"/>
      <c r="C171" s="135"/>
      <c r="D171" s="136">
        <v>5</v>
      </c>
      <c r="E171" s="137" t="s">
        <v>1426</v>
      </c>
      <c r="F171" s="137" t="s">
        <v>1364</v>
      </c>
      <c r="G171" s="137"/>
      <c r="H171" s="137"/>
      <c r="I171" s="137" t="s">
        <v>1427</v>
      </c>
      <c r="J171" s="137" t="s">
        <v>1368</v>
      </c>
      <c r="K171" s="137"/>
      <c r="L171" s="137"/>
      <c r="M171" s="138" t="str">
        <f>"Pre-defined codes (+ "&amp;F171&amp;")"</f>
        <v>Pre-defined codes (+ Characteristics)</v>
      </c>
      <c r="N171" s="138" t="str">
        <f>"festgelegte Codes (+ "&amp;J171&amp;"):"</f>
        <v>festgelegte Codes (+ Merkmale):</v>
      </c>
      <c r="O171" s="143" t="str">
        <f t="shared" ca="1" si="54"/>
        <v/>
      </c>
    </row>
    <row r="172" spans="1:15" ht="20.399999999999999">
      <c r="A172" s="140"/>
      <c r="B172" s="141">
        <v>1</v>
      </c>
      <c r="C172" s="5" t="s">
        <v>1428</v>
      </c>
      <c r="D172" s="141"/>
      <c r="E172" s="5" t="s">
        <v>1429</v>
      </c>
      <c r="F172" s="5" t="s">
        <v>1430</v>
      </c>
      <c r="G172" s="5"/>
      <c r="H172" s="5"/>
      <c r="I172" s="5" t="s">
        <v>1428</v>
      </c>
      <c r="J172" s="5" t="s">
        <v>1431</v>
      </c>
      <c r="K172" s="5"/>
      <c r="L172" s="5"/>
      <c r="M172" t="str">
        <f t="shared" ref="M172:M176" si="59">""""&amp;$C172&amp;""": "&amp;$F172&amp;IF(G172&lt;&gt;""," / "&amp;G172,"")</f>
        <v>"Block": for a building block (shared heating plant)</v>
      </c>
      <c r="N172" t="str">
        <f t="shared" ref="N172:N176" si="60">""""&amp;$C172&amp;""" ("&amp;I172&amp;"): "&amp;$J172&amp;IF(L172&lt;&gt;""," / "&amp;L172,"")</f>
        <v>"Block" (Block): für mehrere Gebäude (Blockheizung)</v>
      </c>
      <c r="O172" s="143" t="str">
        <f t="shared" ca="1" si="54"/>
        <v>'Block','Building','Dwelling','Room','_NA_'</v>
      </c>
    </row>
    <row r="173" spans="1:15">
      <c r="A173" s="140"/>
      <c r="B173" s="141">
        <v>2</v>
      </c>
      <c r="C173" s="5" t="s">
        <v>1230</v>
      </c>
      <c r="D173" s="141"/>
      <c r="E173" s="5" t="s">
        <v>1230</v>
      </c>
      <c r="F173" s="5" t="s">
        <v>1432</v>
      </c>
      <c r="G173" s="5"/>
      <c r="H173" s="5"/>
      <c r="I173" s="5" t="s">
        <v>1433</v>
      </c>
      <c r="J173" s="5" t="s">
        <v>1434</v>
      </c>
      <c r="K173" s="5"/>
      <c r="L173" s="5"/>
      <c r="M173" t="str">
        <f t="shared" si="59"/>
        <v>"Building": for the building</v>
      </c>
      <c r="N173" t="str">
        <f t="shared" si="60"/>
        <v>"Building" (Gebäude): für das Gebäude</v>
      </c>
      <c r="O173" s="143" t="str">
        <f t="shared" ca="1" si="54"/>
        <v>'Building','Dwelling','Room','_NA_'</v>
      </c>
    </row>
    <row r="174" spans="1:15">
      <c r="A174" s="140"/>
      <c r="B174" s="141">
        <v>3</v>
      </c>
      <c r="C174" s="5" t="s">
        <v>1435</v>
      </c>
      <c r="D174" s="141"/>
      <c r="E174" s="5" t="s">
        <v>1435</v>
      </c>
      <c r="F174" s="5" t="s">
        <v>1436</v>
      </c>
      <c r="G174" s="5"/>
      <c r="H174" s="5"/>
      <c r="I174" s="5" t="s">
        <v>1437</v>
      </c>
      <c r="J174" s="5" t="s">
        <v>1438</v>
      </c>
      <c r="K174" s="5"/>
      <c r="L174" s="5"/>
      <c r="M174" t="str">
        <f t="shared" si="59"/>
        <v>"Dwelling": separately per dwelling / apartment</v>
      </c>
      <c r="N174" t="str">
        <f t="shared" si="60"/>
        <v>"Dwelling" (Wohnung): separat je Wohnung</v>
      </c>
      <c r="O174" s="143" t="str">
        <f t="shared" ca="1" si="54"/>
        <v>'Dwelling','Room','_NA_'</v>
      </c>
    </row>
    <row r="175" spans="1:15">
      <c r="A175" s="140"/>
      <c r="B175" s="141">
        <v>4</v>
      </c>
      <c r="C175" s="5" t="s">
        <v>1439</v>
      </c>
      <c r="D175" s="141"/>
      <c r="E175" s="5" t="s">
        <v>1439</v>
      </c>
      <c r="F175" s="5" t="s">
        <v>1440</v>
      </c>
      <c r="G175" s="5"/>
      <c r="H175" s="5"/>
      <c r="I175" s="5" t="s">
        <v>1441</v>
      </c>
      <c r="J175" s="5" t="s">
        <v>1442</v>
      </c>
      <c r="K175" s="5"/>
      <c r="L175" s="5"/>
      <c r="M175" t="str">
        <f t="shared" si="59"/>
        <v>"Room": separately per room</v>
      </c>
      <c r="N175" t="str">
        <f t="shared" si="60"/>
        <v>"Room" (Raum): separat je Raum</v>
      </c>
      <c r="O175" s="143" t="str">
        <f t="shared" ca="1" si="54"/>
        <v>'Room','_NA_'</v>
      </c>
    </row>
    <row r="176" spans="1:15">
      <c r="A176" s="140"/>
      <c r="B176" s="141">
        <v>5</v>
      </c>
      <c r="C176" s="5" t="s">
        <v>41</v>
      </c>
      <c r="D176" s="141"/>
      <c r="E176" s="5" t="s">
        <v>1051</v>
      </c>
      <c r="F176" s="5" t="s">
        <v>1052</v>
      </c>
      <c r="G176" s="5"/>
      <c r="H176" s="5"/>
      <c r="I176" s="5" t="s">
        <v>1053</v>
      </c>
      <c r="J176" s="5" t="s">
        <v>1054</v>
      </c>
      <c r="K176" s="5"/>
      <c r="L176" s="5"/>
      <c r="M176" t="str">
        <f t="shared" si="59"/>
        <v>"_NA_": not available / not applicable</v>
      </c>
      <c r="N176" t="str">
        <f t="shared" si="60"/>
        <v>"_NA_" (k.A.): keine Angaben</v>
      </c>
      <c r="O176" s="143" t="str">
        <f t="shared" ca="1" si="54"/>
        <v>'_NA_'</v>
      </c>
    </row>
    <row r="177" spans="1:15" ht="19.5" customHeight="1">
      <c r="A177" s="133" t="s">
        <v>1443</v>
      </c>
      <c r="B177" s="134"/>
      <c r="C177" s="135"/>
      <c r="D177" s="136">
        <v>4</v>
      </c>
      <c r="E177" s="137" t="s">
        <v>1444</v>
      </c>
      <c r="F177" s="137"/>
      <c r="G177" s="137"/>
      <c r="H177" s="137"/>
      <c r="I177" s="137" t="s">
        <v>1445</v>
      </c>
      <c r="J177" s="137"/>
      <c r="K177" s="137"/>
      <c r="L177" s="137"/>
      <c r="M177" s="138" t="str">
        <f>"Pre-defined codes:"</f>
        <v>Pre-defined codes:</v>
      </c>
      <c r="N177" s="138" t="str">
        <f>"festgelegte Codes:"</f>
        <v>festgelegte Codes:</v>
      </c>
      <c r="O177" s="143" t="str">
        <f t="shared" ca="1" si="54"/>
        <v/>
      </c>
    </row>
    <row r="178" spans="1:15">
      <c r="A178" s="140"/>
      <c r="B178" s="141">
        <v>1</v>
      </c>
      <c r="C178" s="5" t="s">
        <v>1446</v>
      </c>
      <c r="D178" s="141"/>
      <c r="E178" s="5" t="s">
        <v>1447</v>
      </c>
      <c r="F178" s="5"/>
      <c r="G178" s="5"/>
      <c r="H178" s="5"/>
      <c r="I178" s="5" t="s">
        <v>1448</v>
      </c>
      <c r="J178" s="5"/>
      <c r="K178" s="5"/>
      <c r="L178" s="5"/>
      <c r="M178" t="str">
        <f t="shared" ref="M178:M181" si="61">""""&amp;$C178&amp;""": "&amp;$E178&amp;IF(F178&lt;&gt;""," / "&amp;F178,"")</f>
        <v>"Gas": Natural gas</v>
      </c>
      <c r="N178" t="str">
        <f t="shared" ref="N178:N181" si="62">""""&amp;$C178&amp;""": "&amp;$I178&amp;IF(J178&lt;&gt;""," / "&amp;J178,"")</f>
        <v>"Gas": Erdgas</v>
      </c>
      <c r="O178" s="143" t="str">
        <f t="shared" ca="1" si="54"/>
        <v>'Gas','Oil','Gas_Liquid','_NA_'</v>
      </c>
    </row>
    <row r="179" spans="1:15">
      <c r="A179" s="140"/>
      <c r="B179" s="141">
        <v>2</v>
      </c>
      <c r="C179" s="5" t="s">
        <v>1449</v>
      </c>
      <c r="D179" s="141"/>
      <c r="E179" s="5" t="s">
        <v>1450</v>
      </c>
      <c r="F179" s="5"/>
      <c r="G179" s="5"/>
      <c r="H179" s="5"/>
      <c r="I179" s="5" t="s">
        <v>1451</v>
      </c>
      <c r="J179" s="5"/>
      <c r="K179" s="5"/>
      <c r="L179" s="5"/>
      <c r="M179" t="str">
        <f t="shared" si="61"/>
        <v>"Oil": Heating oil</v>
      </c>
      <c r="N179" t="str">
        <f t="shared" si="62"/>
        <v>"Oil": Heizöl</v>
      </c>
      <c r="O179" s="143" t="str">
        <f t="shared" ca="1" si="54"/>
        <v>'Oil','Gas_Liquid','_NA_'</v>
      </c>
    </row>
    <row r="180" spans="1:15">
      <c r="A180" s="140"/>
      <c r="B180" s="141">
        <v>3</v>
      </c>
      <c r="C180" s="5" t="s">
        <v>1452</v>
      </c>
      <c r="D180" s="141"/>
      <c r="E180" s="5" t="s">
        <v>1453</v>
      </c>
      <c r="F180" s="5"/>
      <c r="G180" s="5"/>
      <c r="H180" s="5"/>
      <c r="I180" s="5" t="s">
        <v>1454</v>
      </c>
      <c r="J180" s="5"/>
      <c r="K180" s="5"/>
      <c r="L180" s="5"/>
      <c r="M180" t="str">
        <f t="shared" si="61"/>
        <v>"Gas_Liquid": Fluid gas</v>
      </c>
      <c r="N180" t="str">
        <f t="shared" si="62"/>
        <v>"Gas_Liquid": Flüssiggas</v>
      </c>
      <c r="O180" s="143" t="str">
        <f t="shared" ca="1" si="54"/>
        <v>'Gas_Liquid','_NA_'</v>
      </c>
    </row>
    <row r="181" spans="1:15">
      <c r="A181" s="140"/>
      <c r="B181" s="141">
        <v>4</v>
      </c>
      <c r="C181" s="5" t="s">
        <v>41</v>
      </c>
      <c r="D181" s="141"/>
      <c r="E181" s="5" t="s">
        <v>1051</v>
      </c>
      <c r="F181" s="5" t="s">
        <v>1052</v>
      </c>
      <c r="G181" s="5"/>
      <c r="H181" s="5"/>
      <c r="I181" s="5" t="s">
        <v>1053</v>
      </c>
      <c r="J181" s="5" t="s">
        <v>1054</v>
      </c>
      <c r="K181" s="5"/>
      <c r="L181" s="5"/>
      <c r="M181" t="str">
        <f t="shared" si="61"/>
        <v>"_NA_": N/A / not available / not applicable</v>
      </c>
      <c r="N181" t="str">
        <f t="shared" si="62"/>
        <v>"_NA_": k.A. / keine Angaben</v>
      </c>
      <c r="O181" s="143" t="str">
        <f t="shared" ca="1" si="54"/>
        <v>'_NA_'</v>
      </c>
    </row>
    <row r="182" spans="1:15" ht="19.5" customHeight="1">
      <c r="A182" s="133" t="s">
        <v>1455</v>
      </c>
      <c r="B182" s="134"/>
      <c r="C182" s="135"/>
      <c r="D182" s="136">
        <v>4</v>
      </c>
      <c r="E182" s="137" t="s">
        <v>1456</v>
      </c>
      <c r="F182" s="137"/>
      <c r="G182" s="137"/>
      <c r="H182" s="137"/>
      <c r="I182" s="137" t="s">
        <v>1457</v>
      </c>
      <c r="J182" s="137"/>
      <c r="K182" s="137"/>
      <c r="L182" s="137"/>
      <c r="M182" s="138" t="str">
        <f>"Pre-defined codes:"</f>
        <v>Pre-defined codes:</v>
      </c>
      <c r="N182" s="138" t="str">
        <f>"festgelegte Codes:"</f>
        <v>festgelegte Codes:</v>
      </c>
      <c r="O182" s="143" t="str">
        <f t="shared" ca="1" si="54"/>
        <v/>
      </c>
    </row>
    <row r="183" spans="1:15" ht="20.399999999999999">
      <c r="A183" s="140"/>
      <c r="B183" s="141">
        <v>1</v>
      </c>
      <c r="C183" s="5" t="s">
        <v>1458</v>
      </c>
      <c r="D183" s="141"/>
      <c r="E183" s="5" t="s">
        <v>1459</v>
      </c>
      <c r="F183" s="5"/>
      <c r="G183" s="5"/>
      <c r="H183" s="5"/>
      <c r="I183" s="5" t="s">
        <v>1460</v>
      </c>
      <c r="J183" s="5"/>
      <c r="K183" s="5"/>
      <c r="L183" s="5"/>
      <c r="M183" t="str">
        <f t="shared" ref="M183:M186" si="63">""""&amp;$C183&amp;""": "&amp;$E183&amp;IF(F183&lt;&gt;""," / "&amp;F183,"")</f>
        <v>"B_NC_CT": Boiler / non-condensing / constant temperature</v>
      </c>
      <c r="N183" t="str">
        <f t="shared" ref="N183:N186" si="64">""""&amp;$C183&amp;""": "&amp;$I183&amp;IF(J183&lt;&gt;""," / "&amp;J183,"")</f>
        <v>"B_NC_CT": Konstanttemperatur-Kessel</v>
      </c>
      <c r="O183" s="143" t="str">
        <f t="shared" ca="1" si="54"/>
        <v>'B_NC_CT','B_NC_LT','B_C','_NA_'</v>
      </c>
    </row>
    <row r="184" spans="1:15" ht="20.399999999999999">
      <c r="A184" s="140"/>
      <c r="B184" s="141">
        <v>2</v>
      </c>
      <c r="C184" s="5" t="s">
        <v>1461</v>
      </c>
      <c r="D184" s="141"/>
      <c r="E184" s="5" t="s">
        <v>1462</v>
      </c>
      <c r="F184" s="5"/>
      <c r="G184" s="5"/>
      <c r="H184" s="5"/>
      <c r="I184" s="5" t="s">
        <v>1463</v>
      </c>
      <c r="J184" s="5"/>
      <c r="K184" s="5"/>
      <c r="L184" s="5"/>
      <c r="M184" t="str">
        <f t="shared" si="63"/>
        <v>"B_NC_LT": Boiler / non-condensing / low temperature</v>
      </c>
      <c r="N184" t="str">
        <f t="shared" si="64"/>
        <v>"B_NC_LT": Niedertemperatur-Kessel</v>
      </c>
      <c r="O184" s="143" t="str">
        <f t="shared" ca="1" si="54"/>
        <v>'B_NC_LT','B_C','_NA_'</v>
      </c>
    </row>
    <row r="185" spans="1:15">
      <c r="A185" s="140"/>
      <c r="B185" s="141">
        <v>3</v>
      </c>
      <c r="C185" s="5" t="s">
        <v>1464</v>
      </c>
      <c r="D185" s="141"/>
      <c r="E185" s="5" t="s">
        <v>1465</v>
      </c>
      <c r="F185" s="5"/>
      <c r="G185" s="5"/>
      <c r="H185" s="5"/>
      <c r="I185" s="5" t="s">
        <v>1466</v>
      </c>
      <c r="J185" s="5"/>
      <c r="K185" s="5"/>
      <c r="L185" s="5"/>
      <c r="M185" t="str">
        <f t="shared" si="63"/>
        <v>"B_C": Condensing boiler</v>
      </c>
      <c r="N185" t="str">
        <f t="shared" si="64"/>
        <v>"B_C": Brennwert-Kessel</v>
      </c>
      <c r="O185" s="143" t="str">
        <f t="shared" ca="1" si="54"/>
        <v>'B_C','_NA_'</v>
      </c>
    </row>
    <row r="186" spans="1:15">
      <c r="A186" s="140"/>
      <c r="B186" s="141">
        <v>4</v>
      </c>
      <c r="C186" s="5" t="s">
        <v>41</v>
      </c>
      <c r="D186" s="141"/>
      <c r="E186" s="5" t="s">
        <v>1051</v>
      </c>
      <c r="F186" s="5" t="s">
        <v>1052</v>
      </c>
      <c r="G186" s="5"/>
      <c r="H186" s="5"/>
      <c r="I186" s="5" t="s">
        <v>1053</v>
      </c>
      <c r="J186" s="5" t="s">
        <v>1054</v>
      </c>
      <c r="K186" s="5"/>
      <c r="L186" s="5"/>
      <c r="M186" t="str">
        <f t="shared" si="63"/>
        <v>"_NA_": N/A / not available / not applicable</v>
      </c>
      <c r="N186" t="str">
        <f t="shared" si="64"/>
        <v>"_NA_": k.A. / keine Angaben</v>
      </c>
      <c r="O186" s="143" t="str">
        <f t="shared" ca="1" si="54"/>
        <v>'_NA_'</v>
      </c>
    </row>
    <row r="187" spans="1:15" ht="19.5" customHeight="1">
      <c r="A187" s="133" t="s">
        <v>1467</v>
      </c>
      <c r="B187" s="134"/>
      <c r="C187" s="135"/>
      <c r="D187" s="136">
        <v>6</v>
      </c>
      <c r="E187" s="137" t="s">
        <v>1444</v>
      </c>
      <c r="F187" s="137"/>
      <c r="G187" s="137"/>
      <c r="H187" s="137"/>
      <c r="I187" s="137" t="s">
        <v>1445</v>
      </c>
      <c r="J187" s="137"/>
      <c r="K187" s="137"/>
      <c r="L187" s="137"/>
      <c r="M187" s="138" t="str">
        <f>"Pre-defined codes:"</f>
        <v>Pre-defined codes:</v>
      </c>
      <c r="N187" s="138" t="str">
        <f>"festgelegte Codes:"</f>
        <v>festgelegte Codes:</v>
      </c>
      <c r="O187" s="143" t="str">
        <f t="shared" ca="1" si="54"/>
        <v/>
      </c>
    </row>
    <row r="188" spans="1:15">
      <c r="A188" s="140"/>
      <c r="B188" s="141">
        <v>1</v>
      </c>
      <c r="C188" s="5" t="s">
        <v>1468</v>
      </c>
      <c r="D188" s="141"/>
      <c r="E188" s="5" t="s">
        <v>1469</v>
      </c>
      <c r="F188" s="5"/>
      <c r="G188" s="5"/>
      <c r="H188" s="5"/>
      <c r="I188" s="5" t="s">
        <v>1470</v>
      </c>
      <c r="J188" s="5"/>
      <c r="K188" s="5"/>
      <c r="L188" s="5"/>
      <c r="M188" t="str">
        <f t="shared" ref="M188:M193" si="65">""""&amp;$C188&amp;""": "&amp;$E188&amp;IF(F188&lt;&gt;""," / "&amp;F188,"")</f>
        <v>"Bio_FW": Fire wood</v>
      </c>
      <c r="N188" t="str">
        <f t="shared" ref="N188:N193" si="66">""""&amp;$C188&amp;""": "&amp;$I188&amp;IF(J188&lt;&gt;""," / "&amp;J188,"")</f>
        <v>"Bio_FW": Scheitholz</v>
      </c>
      <c r="O188" s="143" t="str">
        <f t="shared" ca="1" si="54"/>
        <v>'Bio_FW','Bio_WP','Bio_WC','Coal','Other','_NA_'</v>
      </c>
    </row>
    <row r="189" spans="1:15">
      <c r="A189" s="140"/>
      <c r="B189" s="141">
        <v>2</v>
      </c>
      <c r="C189" s="5" t="s">
        <v>1471</v>
      </c>
      <c r="D189" s="141"/>
      <c r="E189" s="5" t="s">
        <v>1472</v>
      </c>
      <c r="F189" s="5"/>
      <c r="G189" s="5"/>
      <c r="H189" s="5"/>
      <c r="I189" s="5" t="s">
        <v>1472</v>
      </c>
      <c r="J189" s="5"/>
      <c r="K189" s="5"/>
      <c r="L189" s="5"/>
      <c r="M189" t="str">
        <f t="shared" si="65"/>
        <v>"Bio_WP": Pellets</v>
      </c>
      <c r="N189" t="str">
        <f t="shared" si="66"/>
        <v>"Bio_WP": Pellets</v>
      </c>
      <c r="O189" s="143" t="str">
        <f t="shared" ca="1" si="54"/>
        <v>'Bio_WP','Bio_WC','Coal','Other','_NA_'</v>
      </c>
    </row>
    <row r="190" spans="1:15">
      <c r="A190" s="140"/>
      <c r="B190" s="141">
        <v>3</v>
      </c>
      <c r="C190" s="5" t="s">
        <v>1473</v>
      </c>
      <c r="D190" s="141"/>
      <c r="E190" s="5" t="s">
        <v>1474</v>
      </c>
      <c r="F190" s="5"/>
      <c r="G190" s="5"/>
      <c r="H190" s="5"/>
      <c r="I190" s="5" t="s">
        <v>1475</v>
      </c>
      <c r="J190" s="5"/>
      <c r="K190" s="5"/>
      <c r="L190" s="5"/>
      <c r="M190" t="str">
        <f t="shared" si="65"/>
        <v>"Bio_WC": Wood chips</v>
      </c>
      <c r="N190" t="str">
        <f t="shared" si="66"/>
        <v>"Bio_WC": Holzhackschnitzel</v>
      </c>
      <c r="O190" s="143" t="str">
        <f t="shared" ca="1" si="54"/>
        <v>'Bio_WC','Coal','Other','_NA_'</v>
      </c>
    </row>
    <row r="191" spans="1:15">
      <c r="A191" s="140"/>
      <c r="B191" s="141">
        <v>4</v>
      </c>
      <c r="C191" s="5" t="s">
        <v>1476</v>
      </c>
      <c r="D191" s="141"/>
      <c r="E191" s="5" t="s">
        <v>1476</v>
      </c>
      <c r="F191" s="5"/>
      <c r="G191" s="5"/>
      <c r="H191" s="5"/>
      <c r="I191" s="5" t="s">
        <v>1477</v>
      </c>
      <c r="J191" s="5"/>
      <c r="K191" s="5"/>
      <c r="L191" s="5"/>
      <c r="M191" t="str">
        <f t="shared" si="65"/>
        <v>"Coal": Coal</v>
      </c>
      <c r="N191" t="str">
        <f t="shared" si="66"/>
        <v>"Coal": Kohle</v>
      </c>
      <c r="O191" s="143" t="str">
        <f t="shared" ca="1" si="54"/>
        <v>'Coal','Other','_NA_'</v>
      </c>
    </row>
    <row r="192" spans="1:15">
      <c r="A192" s="140"/>
      <c r="B192" s="141">
        <v>5</v>
      </c>
      <c r="C192" s="5" t="s">
        <v>1478</v>
      </c>
      <c r="D192" s="141"/>
      <c r="E192" s="5" t="s">
        <v>1478</v>
      </c>
      <c r="F192" s="5"/>
      <c r="G192" s="5"/>
      <c r="H192" s="5"/>
      <c r="I192" s="5" t="s">
        <v>1479</v>
      </c>
      <c r="J192" s="5"/>
      <c r="K192" s="5"/>
      <c r="L192" s="5"/>
      <c r="M192" t="str">
        <f t="shared" si="65"/>
        <v>"Other": Other</v>
      </c>
      <c r="N192" t="str">
        <f t="shared" si="66"/>
        <v>"Other": andere</v>
      </c>
      <c r="O192" s="143" t="str">
        <f t="shared" ca="1" si="54"/>
        <v>'Other','_NA_'</v>
      </c>
    </row>
    <row r="193" spans="1:15">
      <c r="A193" s="140"/>
      <c r="B193" s="141">
        <v>6</v>
      </c>
      <c r="C193" s="5" t="s">
        <v>41</v>
      </c>
      <c r="D193" s="141"/>
      <c r="E193" s="5" t="s">
        <v>1051</v>
      </c>
      <c r="F193" s="5" t="s">
        <v>1052</v>
      </c>
      <c r="G193" s="5"/>
      <c r="H193" s="5"/>
      <c r="I193" s="5" t="s">
        <v>1053</v>
      </c>
      <c r="J193" s="5" t="s">
        <v>1054</v>
      </c>
      <c r="K193" s="5"/>
      <c r="L193" s="5"/>
      <c r="M193" t="str">
        <f t="shared" si="65"/>
        <v>"_NA_": N/A / not available / not applicable</v>
      </c>
      <c r="N193" t="str">
        <f t="shared" si="66"/>
        <v>"_NA_": k.A. / keine Angaben</v>
      </c>
      <c r="O193" s="143" t="str">
        <f t="shared" ca="1" si="54"/>
        <v>'_NA_'</v>
      </c>
    </row>
    <row r="194" spans="1:15" ht="19.5" customHeight="1">
      <c r="A194" s="133" t="s">
        <v>1480</v>
      </c>
      <c r="B194" s="134"/>
      <c r="C194" s="135"/>
      <c r="D194" s="136">
        <v>5</v>
      </c>
      <c r="E194" s="137" t="s">
        <v>1481</v>
      </c>
      <c r="F194" s="137"/>
      <c r="G194" s="137"/>
      <c r="H194" s="137"/>
      <c r="I194" s="137" t="s">
        <v>1482</v>
      </c>
      <c r="J194" s="137"/>
      <c r="K194" s="137"/>
      <c r="L194" s="137"/>
      <c r="M194" s="138" t="str">
        <f>"Pre-defined codes:"</f>
        <v>Pre-defined codes:</v>
      </c>
      <c r="N194" s="138" t="str">
        <f>"festgelegte Codes:"</f>
        <v>festgelegte Codes:</v>
      </c>
      <c r="O194" s="143" t="str">
        <f t="shared" ca="1" si="54"/>
        <v/>
      </c>
    </row>
    <row r="195" spans="1:15">
      <c r="A195" s="140"/>
      <c r="B195" s="141">
        <v>1</v>
      </c>
      <c r="C195" s="5" t="s">
        <v>1483</v>
      </c>
      <c r="D195" s="141"/>
      <c r="E195" s="5" t="s">
        <v>1484</v>
      </c>
      <c r="F195" s="5"/>
      <c r="G195" s="5"/>
      <c r="H195" s="5"/>
      <c r="I195" s="5" t="s">
        <v>438</v>
      </c>
      <c r="J195" s="5"/>
      <c r="K195" s="5"/>
      <c r="L195" s="5"/>
      <c r="M195" t="str">
        <f t="shared" ref="M195:M199" si="67">""""&amp;$C195&amp;""": "&amp;$E195&amp;IF(F195&lt;&gt;""," / "&amp;F195,"")</f>
        <v>"HP_Air": External air</v>
      </c>
      <c r="N195" t="str">
        <f t="shared" ref="N195:N199" si="68">""""&amp;$C195&amp;""": "&amp;$I195&amp;IF(J195&lt;&gt;""," / "&amp;J195,"")</f>
        <v>"HP_Air": Außenluft</v>
      </c>
      <c r="O195" s="143" t="str">
        <f t="shared" ca="1" si="54"/>
        <v>'HP_Air','HP_Ground','HP_ExhAir','HP_Cellar','_NA_'</v>
      </c>
    </row>
    <row r="196" spans="1:15">
      <c r="A196" s="140"/>
      <c r="B196" s="141">
        <v>2</v>
      </c>
      <c r="C196" s="5" t="s">
        <v>1485</v>
      </c>
      <c r="D196" s="141"/>
      <c r="E196" s="5" t="s">
        <v>1486</v>
      </c>
      <c r="F196" s="5"/>
      <c r="G196" s="5"/>
      <c r="H196" s="5"/>
      <c r="I196" s="5" t="s">
        <v>1487</v>
      </c>
      <c r="J196" s="5"/>
      <c r="K196" s="5"/>
      <c r="L196" s="5"/>
      <c r="M196" t="str">
        <f t="shared" si="67"/>
        <v>"HP_Ground": Soil / groundwater</v>
      </c>
      <c r="N196" t="str">
        <f t="shared" si="68"/>
        <v>"HP_Ground": Erdreich/Grundwasser</v>
      </c>
      <c r="O196" s="143" t="str">
        <f t="shared" ca="1" si="54"/>
        <v>'HP_Ground','HP_ExhAir','HP_Cellar','_NA_'</v>
      </c>
    </row>
    <row r="197" spans="1:15">
      <c r="A197" s="140"/>
      <c r="B197" s="141">
        <v>3</v>
      </c>
      <c r="C197" s="5" t="s">
        <v>1488</v>
      </c>
      <c r="D197" s="141"/>
      <c r="E197" s="5" t="s">
        <v>1489</v>
      </c>
      <c r="F197" s="5"/>
      <c r="G197" s="5"/>
      <c r="H197" s="5"/>
      <c r="I197" s="5" t="s">
        <v>1490</v>
      </c>
      <c r="J197" s="5"/>
      <c r="K197" s="5"/>
      <c r="L197" s="5"/>
      <c r="M197" t="str">
        <f t="shared" si="67"/>
        <v>"HP_ExhAir": Exhaust air</v>
      </c>
      <c r="N197" t="str">
        <f t="shared" si="68"/>
        <v>"HP_ExhAir": Abluft</v>
      </c>
      <c r="O197" s="143" t="str">
        <f t="shared" ca="1" si="54"/>
        <v>'HP_ExhAir','HP_Cellar','_NA_'</v>
      </c>
    </row>
    <row r="198" spans="1:15">
      <c r="A198" s="140"/>
      <c r="B198" s="141">
        <v>4</v>
      </c>
      <c r="C198" s="5" t="s">
        <v>1491</v>
      </c>
      <c r="D198" s="141"/>
      <c r="E198" s="5" t="s">
        <v>1492</v>
      </c>
      <c r="F198" s="5"/>
      <c r="G198" s="5"/>
      <c r="H198" s="5"/>
      <c r="I198" s="5" t="s">
        <v>1493</v>
      </c>
      <c r="J198" s="5"/>
      <c r="K198" s="5"/>
      <c r="L198" s="5"/>
      <c r="M198" t="str">
        <f t="shared" si="67"/>
        <v>"HP_Cellar": Cellar air</v>
      </c>
      <c r="N198" t="str">
        <f t="shared" si="68"/>
        <v>"HP_Cellar": Kellerluft</v>
      </c>
      <c r="O198" s="143" t="str">
        <f t="shared" ca="1" si="54"/>
        <v>'HP_Cellar','_NA_'</v>
      </c>
    </row>
    <row r="199" spans="1:15">
      <c r="A199" s="140"/>
      <c r="B199" s="141">
        <v>5</v>
      </c>
      <c r="C199" s="5" t="s">
        <v>41</v>
      </c>
      <c r="D199" s="141"/>
      <c r="E199" s="5" t="s">
        <v>1051</v>
      </c>
      <c r="F199" s="5" t="s">
        <v>1052</v>
      </c>
      <c r="G199" s="5"/>
      <c r="H199" s="5"/>
      <c r="I199" s="5" t="s">
        <v>1053</v>
      </c>
      <c r="J199" s="5" t="s">
        <v>1054</v>
      </c>
      <c r="K199" s="5"/>
      <c r="L199" s="5"/>
      <c r="M199" t="str">
        <f t="shared" si="67"/>
        <v>"_NA_": N/A / not available / not applicable</v>
      </c>
      <c r="N199" t="str">
        <f t="shared" si="68"/>
        <v>"_NA_": k.A. / keine Angaben</v>
      </c>
      <c r="O199" s="143" t="str">
        <f t="shared" ca="1" si="54"/>
        <v>'_NA_'</v>
      </c>
    </row>
    <row r="200" spans="1:15" ht="19.5" customHeight="1">
      <c r="A200" s="133" t="s">
        <v>1494</v>
      </c>
      <c r="B200" s="134"/>
      <c r="C200" s="135"/>
      <c r="D200" s="136">
        <v>5</v>
      </c>
      <c r="E200" s="137" t="s">
        <v>1444</v>
      </c>
      <c r="F200" s="137"/>
      <c r="G200" s="137"/>
      <c r="H200" s="137"/>
      <c r="I200" s="137" t="s">
        <v>1445</v>
      </c>
      <c r="J200" s="137"/>
      <c r="K200" s="137"/>
      <c r="L200" s="137"/>
      <c r="M200" s="138" t="str">
        <f>"Pre-defined codes:"</f>
        <v>Pre-defined codes:</v>
      </c>
      <c r="N200" s="138" t="str">
        <f>"festgelegte Codes:"</f>
        <v>festgelegte Codes:</v>
      </c>
      <c r="O200" s="143" t="str">
        <f t="shared" ca="1" si="54"/>
        <v/>
      </c>
    </row>
    <row r="201" spans="1:15">
      <c r="A201" s="140"/>
      <c r="B201" s="141">
        <v>1</v>
      </c>
      <c r="C201" s="5" t="s">
        <v>1446</v>
      </c>
      <c r="D201" s="141"/>
      <c r="E201" s="5" t="s">
        <v>1447</v>
      </c>
      <c r="F201" s="5"/>
      <c r="G201" s="5"/>
      <c r="H201" s="5"/>
      <c r="I201" s="5" t="s">
        <v>1448</v>
      </c>
      <c r="J201" s="5"/>
      <c r="K201" s="5"/>
      <c r="L201" s="5"/>
      <c r="M201" t="str">
        <f t="shared" ref="M201:M205" si="69">""""&amp;$C201&amp;""": "&amp;$E201&amp;IF(F201&lt;&gt;""," / "&amp;F201,"")</f>
        <v>"Gas": Natural gas</v>
      </c>
      <c r="N201" t="str">
        <f t="shared" ref="N201:N205" si="70">""""&amp;$C201&amp;""": "&amp;$I201&amp;IF(J201&lt;&gt;""," / "&amp;J201,"")</f>
        <v>"Gas": Erdgas</v>
      </c>
      <c r="O201" s="143" t="str">
        <f t="shared" ca="1" si="54"/>
        <v>'Gas','Oil','Bio','Other','_NA_'</v>
      </c>
    </row>
    <row r="202" spans="1:15">
      <c r="A202" s="140"/>
      <c r="B202" s="141">
        <v>2</v>
      </c>
      <c r="C202" s="5" t="s">
        <v>1449</v>
      </c>
      <c r="D202" s="141"/>
      <c r="E202" s="5" t="s">
        <v>1450</v>
      </c>
      <c r="F202" s="5"/>
      <c r="G202" s="5"/>
      <c r="H202" s="5"/>
      <c r="I202" s="5" t="s">
        <v>1451</v>
      </c>
      <c r="J202" s="5"/>
      <c r="K202" s="5"/>
      <c r="L202" s="5"/>
      <c r="M202" t="str">
        <f t="shared" si="69"/>
        <v>"Oil": Heating oil</v>
      </c>
      <c r="N202" t="str">
        <f t="shared" si="70"/>
        <v>"Oil": Heizöl</v>
      </c>
      <c r="O202" s="143" t="str">
        <f t="shared" ca="1" si="54"/>
        <v>'Oil','Bio','Other','_NA_'</v>
      </c>
    </row>
    <row r="203" spans="1:15">
      <c r="A203" s="140"/>
      <c r="B203" s="141">
        <v>3</v>
      </c>
      <c r="C203" s="5" t="s">
        <v>1495</v>
      </c>
      <c r="D203" s="141"/>
      <c r="E203" s="5" t="s">
        <v>1496</v>
      </c>
      <c r="F203" s="5"/>
      <c r="G203" s="5"/>
      <c r="H203" s="5"/>
      <c r="I203" s="5" t="s">
        <v>1497</v>
      </c>
      <c r="J203" s="5"/>
      <c r="K203" s="5"/>
      <c r="L203" s="5"/>
      <c r="M203" t="str">
        <f t="shared" si="69"/>
        <v>"Bio": Bio fuel</v>
      </c>
      <c r="N203" t="str">
        <f t="shared" si="70"/>
        <v>"Bio": Bio-Brennstoff</v>
      </c>
      <c r="O203" s="143" t="str">
        <f t="shared" ca="1" si="54"/>
        <v>'Bio','Other','_NA_'</v>
      </c>
    </row>
    <row r="204" spans="1:15">
      <c r="A204" s="140"/>
      <c r="B204" s="141">
        <v>4</v>
      </c>
      <c r="C204" s="5" t="s">
        <v>1478</v>
      </c>
      <c r="D204" s="141"/>
      <c r="E204" s="5" t="s">
        <v>1478</v>
      </c>
      <c r="F204" s="5"/>
      <c r="G204" s="5"/>
      <c r="H204" s="5"/>
      <c r="I204" s="5" t="s">
        <v>1479</v>
      </c>
      <c r="J204" s="5"/>
      <c r="K204" s="5"/>
      <c r="L204" s="5"/>
      <c r="M204" t="str">
        <f t="shared" si="69"/>
        <v>"Other": Other</v>
      </c>
      <c r="N204" t="str">
        <f t="shared" si="70"/>
        <v>"Other": andere</v>
      </c>
      <c r="O204" s="143" t="str">
        <f t="shared" ca="1" si="54"/>
        <v>'Other','_NA_'</v>
      </c>
    </row>
    <row r="205" spans="1:15">
      <c r="A205" s="140"/>
      <c r="B205" s="141">
        <v>5</v>
      </c>
      <c r="C205" s="5" t="s">
        <v>41</v>
      </c>
      <c r="D205" s="141"/>
      <c r="E205" s="5" t="s">
        <v>1051</v>
      </c>
      <c r="F205" s="5" t="s">
        <v>1052</v>
      </c>
      <c r="G205" s="5"/>
      <c r="H205" s="5"/>
      <c r="I205" s="5" t="s">
        <v>1053</v>
      </c>
      <c r="J205" s="5" t="s">
        <v>1054</v>
      </c>
      <c r="K205" s="5"/>
      <c r="L205" s="5"/>
      <c r="M205" t="str">
        <f t="shared" si="69"/>
        <v>"_NA_": N/A / not available / not applicable</v>
      </c>
      <c r="N205" t="str">
        <f t="shared" si="70"/>
        <v>"_NA_": k.A. / keine Angaben</v>
      </c>
      <c r="O205" s="143" t="str">
        <f t="shared" ca="1" si="54"/>
        <v>'_NA_'</v>
      </c>
    </row>
    <row r="206" spans="1:15" ht="19.5" customHeight="1">
      <c r="A206" s="133" t="s">
        <v>1498</v>
      </c>
      <c r="B206" s="134"/>
      <c r="C206" s="135"/>
      <c r="D206" s="136">
        <v>5</v>
      </c>
      <c r="E206" s="137" t="s">
        <v>1444</v>
      </c>
      <c r="F206" s="137"/>
      <c r="G206" s="137"/>
      <c r="H206" s="137"/>
      <c r="I206" s="137" t="s">
        <v>1445</v>
      </c>
      <c r="J206" s="137"/>
      <c r="K206" s="137"/>
      <c r="L206" s="137"/>
      <c r="M206" s="138" t="str">
        <f>"Pre-defined codes:"</f>
        <v>Pre-defined codes:</v>
      </c>
      <c r="N206" s="138" t="str">
        <f>"festgelegte Codes:"</f>
        <v>festgelegte Codes:</v>
      </c>
      <c r="O206" s="143" t="str">
        <f t="shared" ca="1" si="54"/>
        <v/>
      </c>
    </row>
    <row r="207" spans="1:15">
      <c r="A207" s="140"/>
      <c r="B207" s="141">
        <v>1</v>
      </c>
      <c r="C207" s="5" t="s">
        <v>1499</v>
      </c>
      <c r="D207" s="141"/>
      <c r="E207" s="5" t="s">
        <v>1353</v>
      </c>
      <c r="F207" s="5"/>
      <c r="G207" s="5"/>
      <c r="H207" s="5"/>
      <c r="I207" s="5" t="s">
        <v>1500</v>
      </c>
      <c r="J207" s="5"/>
      <c r="K207" s="5"/>
      <c r="L207" s="5"/>
      <c r="M207" t="str">
        <f t="shared" ref="M207:M211" si="71">""""&amp;$C207&amp;""": "&amp;$E207&amp;IF(F207&lt;&gt;""," / "&amp;F207,"")</f>
        <v>"Bio_Wood": Wood</v>
      </c>
      <c r="N207" t="str">
        <f t="shared" ref="N207:N211" si="72">""""&amp;$C207&amp;""": "&amp;$I207&amp;IF(J207&lt;&gt;""," / "&amp;J207,"")</f>
        <v>"Bio_Wood": Holz</v>
      </c>
      <c r="O207" s="143" t="str">
        <f t="shared" ca="1" si="54"/>
        <v>'Bio_Wood','Oil','Gas','Coal','_NA_'</v>
      </c>
    </row>
    <row r="208" spans="1:15">
      <c r="A208" s="140"/>
      <c r="B208" s="141">
        <v>2</v>
      </c>
      <c r="C208" s="5" t="s">
        <v>1449</v>
      </c>
      <c r="D208" s="141"/>
      <c r="E208" s="5" t="s">
        <v>1449</v>
      </c>
      <c r="F208" s="5"/>
      <c r="G208" s="5"/>
      <c r="H208" s="5"/>
      <c r="I208" s="5" t="s">
        <v>1451</v>
      </c>
      <c r="J208" s="5"/>
      <c r="K208" s="5"/>
      <c r="L208" s="5"/>
      <c r="M208" t="str">
        <f t="shared" si="71"/>
        <v>"Oil": Oil</v>
      </c>
      <c r="N208" t="str">
        <f t="shared" si="72"/>
        <v>"Oil": Heizöl</v>
      </c>
      <c r="O208" s="143" t="str">
        <f t="shared" ca="1" si="54"/>
        <v>'Oil','Gas','Coal','_NA_'</v>
      </c>
    </row>
    <row r="209" spans="1:15">
      <c r="A209" s="140"/>
      <c r="B209" s="141">
        <v>3</v>
      </c>
      <c r="C209" s="5" t="s">
        <v>1446</v>
      </c>
      <c r="D209" s="141"/>
      <c r="E209" s="5" t="s">
        <v>1446</v>
      </c>
      <c r="F209" s="5"/>
      <c r="G209" s="5"/>
      <c r="H209" s="5"/>
      <c r="I209" s="5" t="s">
        <v>1446</v>
      </c>
      <c r="J209" s="5"/>
      <c r="K209" s="5"/>
      <c r="L209" s="5"/>
      <c r="M209" t="str">
        <f t="shared" si="71"/>
        <v>"Gas": Gas</v>
      </c>
      <c r="N209" t="str">
        <f t="shared" si="72"/>
        <v>"Gas": Gas</v>
      </c>
      <c r="O209" s="143" t="str">
        <f t="shared" ca="1" si="54"/>
        <v>'Gas','Coal','_NA_'</v>
      </c>
    </row>
    <row r="210" spans="1:15">
      <c r="A210" s="140"/>
      <c r="B210" s="141">
        <v>4</v>
      </c>
      <c r="C210" s="5" t="s">
        <v>1476</v>
      </c>
      <c r="D210" s="141"/>
      <c r="E210" s="5" t="s">
        <v>1476</v>
      </c>
      <c r="F210" s="5"/>
      <c r="G210" s="5"/>
      <c r="H210" s="5"/>
      <c r="I210" s="5" t="s">
        <v>1477</v>
      </c>
      <c r="J210" s="5"/>
      <c r="K210" s="5"/>
      <c r="L210" s="5"/>
      <c r="M210" t="str">
        <f t="shared" si="71"/>
        <v>"Coal": Coal</v>
      </c>
      <c r="N210" t="str">
        <f t="shared" si="72"/>
        <v>"Coal": Kohle</v>
      </c>
      <c r="O210" s="143" t="str">
        <f t="shared" ca="1" si="54"/>
        <v>'Coal','_NA_'</v>
      </c>
    </row>
    <row r="211" spans="1:15">
      <c r="A211" s="140"/>
      <c r="B211" s="141">
        <v>5</v>
      </c>
      <c r="C211" s="5" t="s">
        <v>41</v>
      </c>
      <c r="D211" s="141"/>
      <c r="E211" s="5" t="s">
        <v>1051</v>
      </c>
      <c r="F211" s="5" t="s">
        <v>1052</v>
      </c>
      <c r="G211" s="5"/>
      <c r="H211" s="5"/>
      <c r="I211" s="5" t="s">
        <v>1053</v>
      </c>
      <c r="J211" s="5" t="s">
        <v>1054</v>
      </c>
      <c r="K211" s="5"/>
      <c r="L211" s="5"/>
      <c r="M211" t="str">
        <f t="shared" si="71"/>
        <v>"_NA_": N/A / not available / not applicable</v>
      </c>
      <c r="N211" t="str">
        <f t="shared" si="72"/>
        <v>"_NA_": k.A. / keine Angaben</v>
      </c>
      <c r="O211" s="143" t="str">
        <f t="shared" ca="1" si="54"/>
        <v>'_NA_'</v>
      </c>
    </row>
    <row r="212" spans="1:15" ht="19.5" customHeight="1">
      <c r="A212" s="133" t="s">
        <v>1501</v>
      </c>
      <c r="B212" s="134"/>
      <c r="C212" s="135"/>
      <c r="D212" s="136">
        <v>2</v>
      </c>
      <c r="E212" s="137" t="s">
        <v>1502</v>
      </c>
      <c r="F212" s="137"/>
      <c r="G212" s="137"/>
      <c r="H212" s="137"/>
      <c r="I212" s="137" t="s">
        <v>1503</v>
      </c>
      <c r="J212" s="137"/>
      <c r="K212" s="137"/>
      <c r="L212" s="137"/>
      <c r="M212" s="138" t="str">
        <f>"Pre-defined codes:"</f>
        <v>Pre-defined codes:</v>
      </c>
      <c r="N212" s="138" t="str">
        <f>"festgelegte Codes:"</f>
        <v>festgelegte Codes:</v>
      </c>
      <c r="O212" s="143" t="str">
        <f t="shared" ca="1" si="54"/>
        <v/>
      </c>
    </row>
    <row r="213" spans="1:15">
      <c r="A213" s="140"/>
      <c r="B213" s="141">
        <v>1</v>
      </c>
      <c r="C213" s="5" t="s">
        <v>1504</v>
      </c>
      <c r="D213" s="141"/>
      <c r="E213" s="5" t="s">
        <v>1505</v>
      </c>
      <c r="F213" s="144"/>
      <c r="G213" s="5"/>
      <c r="H213" s="5"/>
      <c r="I213" s="144" t="s">
        <v>1506</v>
      </c>
      <c r="J213" s="5"/>
      <c r="K213" s="5"/>
      <c r="L213" s="5"/>
      <c r="M213" t="str">
        <f>""""&amp;$C213&amp;""": "&amp;$E213&amp;IF(F213&lt;&gt;""," / "&amp;F213,"")</f>
        <v>"Global": Thermal envelope global</v>
      </c>
      <c r="N213" t="str">
        <f>""""&amp;$C213&amp;""": "&amp;$I213&amp;IF(J213&lt;&gt;""," / "&amp;J213,"")</f>
        <v>"Global": Gebäudehülle gesamt</v>
      </c>
      <c r="O213" s="143" t="str">
        <f t="shared" ca="1" si="54"/>
        <v>'Global','ByItem','_NA_'</v>
      </c>
    </row>
    <row r="214" spans="1:15">
      <c r="A214" s="140"/>
      <c r="B214" s="141">
        <v>2</v>
      </c>
      <c r="C214" s="5" t="s">
        <v>1507</v>
      </c>
      <c r="D214" s="141"/>
      <c r="E214" s="5" t="s">
        <v>1508</v>
      </c>
      <c r="F214" s="144"/>
      <c r="G214" s="5"/>
      <c r="H214" s="5"/>
      <c r="I214" s="144" t="s">
        <v>1509</v>
      </c>
      <c r="J214" s="5"/>
      <c r="K214" s="5"/>
      <c r="L214" s="5"/>
      <c r="M214" t="str">
        <f>""""&amp;$C214&amp;""": "&amp;$E214&amp;IF(F214&lt;&gt;""," / "&amp;F214,"")</f>
        <v>"ByItem": Specification by item</v>
      </c>
      <c r="N214" t="str">
        <f>""""&amp;$C214&amp;""": "&amp;$I214&amp;IF(J214&lt;&gt;""," / "&amp;J214,"")</f>
        <v>"ByItem": Einzelangaben Gebäudehülle</v>
      </c>
      <c r="O214" s="143" t="str">
        <f t="shared" ca="1" si="54"/>
        <v>'ByItem','_NA_'</v>
      </c>
    </row>
    <row r="215" spans="1:15">
      <c r="A215" s="140"/>
      <c r="B215" s="141">
        <v>3</v>
      </c>
      <c r="C215" s="5" t="s">
        <v>41</v>
      </c>
      <c r="D215" s="141"/>
      <c r="E215" s="5" t="s">
        <v>1510</v>
      </c>
      <c r="F215" s="5"/>
      <c r="G215" s="5"/>
      <c r="H215" s="5"/>
      <c r="I215" s="5" t="s">
        <v>1511</v>
      </c>
      <c r="J215" s="5"/>
      <c r="K215" s="5"/>
      <c r="L215" s="5"/>
      <c r="M215" t="str">
        <f t="shared" ref="M215" si="73">""""&amp;$C215&amp;""": "&amp;$E215&amp;IF(F215&lt;&gt;""," / "&amp;F215,"")</f>
        <v>"_NA_": No information about data source</v>
      </c>
      <c r="N215" t="str">
        <f t="shared" ref="N215" si="74">""""&amp;$C215&amp;""": "&amp;$I215&amp;IF(J215&lt;&gt;""," / "&amp;J215,"")</f>
        <v>"_NA_": keine Information über die Datenquelle</v>
      </c>
      <c r="O215" s="143" t="str">
        <f t="shared" ca="1" si="54"/>
        <v>'_NA_'</v>
      </c>
    </row>
    <row r="216" spans="1:15" ht="19.5" customHeight="1">
      <c r="A216" s="133" t="s">
        <v>1512</v>
      </c>
      <c r="B216" s="134"/>
      <c r="C216" s="135"/>
      <c r="D216" s="136">
        <v>5</v>
      </c>
      <c r="E216" s="137" t="s">
        <v>1513</v>
      </c>
      <c r="F216" s="137"/>
      <c r="G216" s="137"/>
      <c r="H216" s="137"/>
      <c r="I216" s="137" t="s">
        <v>1514</v>
      </c>
      <c r="J216" s="137"/>
      <c r="K216" s="137"/>
      <c r="L216" s="137"/>
      <c r="M216" s="138" t="str">
        <f>"Pre-defined codes:"</f>
        <v>Pre-defined codes:</v>
      </c>
      <c r="N216" s="138" t="str">
        <f>"festgelegte Codes:"</f>
        <v>festgelegte Codes:</v>
      </c>
      <c r="O216" s="143" t="str">
        <f t="shared" ca="1" si="54"/>
        <v/>
      </c>
    </row>
    <row r="217" spans="1:15">
      <c r="A217" s="140"/>
      <c r="B217" s="141">
        <v>1</v>
      </c>
      <c r="C217" s="5" t="s">
        <v>68</v>
      </c>
      <c r="D217" s="141"/>
      <c r="E217" s="5" t="s">
        <v>1515</v>
      </c>
      <c r="F217" s="144"/>
      <c r="G217" s="5"/>
      <c r="H217" s="5"/>
      <c r="I217" s="144" t="s">
        <v>1516</v>
      </c>
      <c r="J217" s="5"/>
      <c r="K217" s="5"/>
      <c r="L217" s="5"/>
      <c r="M217" t="str">
        <f>""""&amp;$C217&amp;""": "&amp;$E217&amp;IF(F217&lt;&gt;""," / "&amp;F217,"")</f>
        <v>"DesignDataPlusQA": Design data + quality assurance</v>
      </c>
      <c r="N217" t="str">
        <f>""""&amp;$C217&amp;""": "&amp;$I217&amp;IF(J217&lt;&gt;""," / "&amp;J217,"")</f>
        <v>"DesignDataPlusQA": Planungsdaten + Qualitätsicherung</v>
      </c>
      <c r="O217" s="143" t="str">
        <f t="shared" ca="1" si="54"/>
        <v>'DesignDataPlusQA','DesignData','InspectionOnSite','RecordsStatementOwner','NoDataSource','_NA_'</v>
      </c>
    </row>
    <row r="218" spans="1:15" ht="20.399999999999999">
      <c r="A218" s="140"/>
      <c r="B218" s="141">
        <v>2</v>
      </c>
      <c r="C218" s="5" t="s">
        <v>67</v>
      </c>
      <c r="D218" s="141"/>
      <c r="E218" s="5" t="s">
        <v>1517</v>
      </c>
      <c r="F218" s="144"/>
      <c r="G218" s="5"/>
      <c r="H218" s="5"/>
      <c r="I218" s="144" t="s">
        <v>1518</v>
      </c>
      <c r="J218" s="5"/>
      <c r="K218" s="5"/>
      <c r="L218" s="5"/>
      <c r="M218" t="str">
        <f>""""&amp;$C218&amp;""": "&amp;$E218&amp;IF(F218&lt;&gt;""," / "&amp;F218,"")</f>
        <v>"DesignData": Design data (e.g. Energy Performance Certificate)</v>
      </c>
      <c r="N218" t="str">
        <f>""""&amp;$C218&amp;""": "&amp;$I218&amp;IF(J218&lt;&gt;""," / "&amp;J218,"")</f>
        <v>"DesignData": Planungsdaten (z.B. Energieausweis)</v>
      </c>
      <c r="O218" s="143" t="str">
        <f t="shared" ca="1" si="54"/>
        <v>'DesignData','InspectionOnSite','RecordsStatementOwner','NoDataSource','_NA_'</v>
      </c>
    </row>
    <row r="219" spans="1:15">
      <c r="A219" s="140"/>
      <c r="B219" s="141">
        <v>3</v>
      </c>
      <c r="C219" s="144" t="s">
        <v>1519</v>
      </c>
      <c r="D219" s="141"/>
      <c r="E219" s="144" t="s">
        <v>1520</v>
      </c>
      <c r="F219" s="144"/>
      <c r="G219" s="5"/>
      <c r="H219" s="5"/>
      <c r="I219" s="144" t="s">
        <v>1521</v>
      </c>
      <c r="J219" s="5"/>
      <c r="K219" s="5"/>
      <c r="L219" s="5"/>
      <c r="M219" t="str">
        <f t="shared" ref="M219:M220" si="75">""""&amp;$C219&amp;""": "&amp;$E219&amp;IF(F219&lt;&gt;""," / "&amp;F219,"")</f>
        <v>"InspectionOnSite": On-site data elevation</v>
      </c>
      <c r="N219" t="str">
        <f t="shared" ref="N219:N220" si="76">""""&amp;$C219&amp;""": "&amp;$I219&amp;IF(J219&lt;&gt;""," / "&amp;J219,"")</f>
        <v>"InspectionOnSite": Vor-Ort-Erhebung (Begehung)</v>
      </c>
      <c r="O219" s="143" t="str">
        <f t="shared" ca="1" si="54"/>
        <v>'InspectionOnSite','RecordsStatementOwner','NoDataSource','_NA_'</v>
      </c>
    </row>
    <row r="220" spans="1:15">
      <c r="A220" s="140"/>
      <c r="B220" s="141">
        <v>4</v>
      </c>
      <c r="C220" s="144" t="s">
        <v>190</v>
      </c>
      <c r="D220" s="141"/>
      <c r="E220" s="144" t="s">
        <v>1522</v>
      </c>
      <c r="F220" s="144"/>
      <c r="G220" s="5"/>
      <c r="H220" s="5"/>
      <c r="I220" s="144" t="s">
        <v>1523</v>
      </c>
      <c r="J220" s="5"/>
      <c r="K220" s="5"/>
      <c r="L220" s="5"/>
      <c r="M220" t="str">
        <f t="shared" si="75"/>
        <v>"RecordsStatementOwner": Files / information from building owner</v>
      </c>
      <c r="N220" t="str">
        <f t="shared" si="76"/>
        <v>"RecordsStatementOwner": Akten / Angaben Gebäude-eigentümer</v>
      </c>
      <c r="O220" s="143" t="str">
        <f t="shared" ca="1" si="54"/>
        <v>'RecordsStatementOwner','NoDataSource','_NA_'</v>
      </c>
    </row>
    <row r="221" spans="1:15">
      <c r="A221" s="140"/>
      <c r="B221" s="141">
        <v>5</v>
      </c>
      <c r="C221" s="144" t="s">
        <v>70</v>
      </c>
      <c r="D221" s="141"/>
      <c r="E221" s="144" t="s">
        <v>1524</v>
      </c>
      <c r="F221" s="5"/>
      <c r="G221" s="5"/>
      <c r="H221" s="5"/>
      <c r="I221" s="5" t="s">
        <v>1525</v>
      </c>
      <c r="J221" s="5"/>
      <c r="K221" s="5"/>
      <c r="L221" s="5"/>
      <c r="M221" t="str">
        <f>""""&amp;$C221&amp;""": "&amp;$E221&amp;IF(F221&lt;&gt;""," / "&amp;F221,"")</f>
        <v>"NoDataSource": No data source</v>
      </c>
      <c r="N221" t="str">
        <f>""""&amp;$C221&amp;""": "&amp;$I221&amp;IF(J221&lt;&gt;""," / "&amp;J221,"")</f>
        <v>"NoDataSource": keine Datenquelle</v>
      </c>
      <c r="O221" s="143" t="str">
        <f t="shared" ref="O221:O281" ca="1" si="77">IF(C221&lt;&gt;"","'"&amp;C221&amp;"'"&amp;IF(OFFSET(O221,1,0)&lt;&gt;"",","&amp;OFFSET(O221,1,0),""),"")</f>
        <v>'NoDataSource','_NA_'</v>
      </c>
    </row>
    <row r="222" spans="1:15">
      <c r="A222" s="140"/>
      <c r="B222" s="141">
        <v>6</v>
      </c>
      <c r="C222" s="5" t="s">
        <v>41</v>
      </c>
      <c r="D222" s="141"/>
      <c r="E222" s="5" t="s">
        <v>1510</v>
      </c>
      <c r="F222" s="5"/>
      <c r="G222" s="5"/>
      <c r="H222" s="5"/>
      <c r="I222" s="5" t="s">
        <v>1511</v>
      </c>
      <c r="J222" s="5"/>
      <c r="K222" s="5"/>
      <c r="L222" s="5"/>
      <c r="M222" t="str">
        <f t="shared" ref="M222" si="78">""""&amp;$C222&amp;""": "&amp;$E222&amp;IF(F222&lt;&gt;""," / "&amp;F222,"")</f>
        <v>"_NA_": No information about data source</v>
      </c>
      <c r="N222" t="str">
        <f t="shared" ref="N222" si="79">""""&amp;$C222&amp;""": "&amp;$I222&amp;IF(J222&lt;&gt;""," / "&amp;J222,"")</f>
        <v>"_NA_": keine Information über die Datenquelle</v>
      </c>
      <c r="O222" s="143" t="str">
        <f t="shared" ca="1" si="77"/>
        <v>'_NA_'</v>
      </c>
    </row>
    <row r="223" spans="1:15" ht="19.5" customHeight="1">
      <c r="A223" s="133" t="s">
        <v>1526</v>
      </c>
      <c r="B223" s="134"/>
      <c r="C223" s="135"/>
      <c r="D223" s="136">
        <v>5</v>
      </c>
      <c r="E223" s="137" t="s">
        <v>1527</v>
      </c>
      <c r="F223" s="137"/>
      <c r="G223" s="137"/>
      <c r="H223" s="137"/>
      <c r="I223" s="137" t="s">
        <v>1528</v>
      </c>
      <c r="J223" s="137"/>
      <c r="K223" s="137"/>
      <c r="L223" s="137"/>
      <c r="M223" s="138" t="str">
        <f>"Pre-defined codes:"</f>
        <v>Pre-defined codes:</v>
      </c>
      <c r="N223" s="138" t="str">
        <f>"festgelegte Codes:"</f>
        <v>festgelegte Codes:</v>
      </c>
      <c r="O223" s="143" t="str">
        <f t="shared" ca="1" si="77"/>
        <v/>
      </c>
    </row>
    <row r="224" spans="1:15" ht="30.6">
      <c r="A224" s="140"/>
      <c r="B224" s="141">
        <v>1</v>
      </c>
      <c r="C224" s="5" t="s">
        <v>1529</v>
      </c>
      <c r="D224" s="141"/>
      <c r="E224" s="5" t="s">
        <v>1530</v>
      </c>
      <c r="F224" s="144"/>
      <c r="G224" s="5"/>
      <c r="H224" s="5"/>
      <c r="I224" s="144" t="s">
        <v>1531</v>
      </c>
      <c r="J224" s="5"/>
      <c r="K224" s="5"/>
      <c r="L224" s="5"/>
      <c r="M224" t="str">
        <f>""""&amp;$C224&amp;""": "&amp;$E224&amp;IF(F224&lt;&gt;""," / "&amp;F224,"")</f>
        <v>"MeasurementOnSiteQA": On-site measurements + quality assurance (scientific monitoring)</v>
      </c>
      <c r="N224" t="str">
        <f>""""&amp;$C224&amp;""": "&amp;$I224&amp;IF(J224&lt;&gt;""," / "&amp;J224,"")</f>
        <v>"MeasurementOnSiteQA": objektbezogene Messdaten + Qualitätssicherung (z.B. wissenschaftliches Monitoring)</v>
      </c>
      <c r="O224" s="143" t="str">
        <f t="shared" ca="1" si="77"/>
        <v>'MeasurementOnSiteQA','MeasurementOnSite','ElevationClassification','NoDataSource','_NA_'</v>
      </c>
    </row>
    <row r="225" spans="1:15" ht="20.399999999999999">
      <c r="A225" s="140"/>
      <c r="B225" s="141">
        <v>2</v>
      </c>
      <c r="C225" s="5" t="s">
        <v>1532</v>
      </c>
      <c r="D225" s="141"/>
      <c r="E225" s="5" t="s">
        <v>1533</v>
      </c>
      <c r="F225" s="144"/>
      <c r="G225" s="5"/>
      <c r="H225" s="5"/>
      <c r="I225" s="144" t="s">
        <v>1534</v>
      </c>
      <c r="J225" s="5"/>
      <c r="K225" s="5"/>
      <c r="L225" s="5"/>
      <c r="M225" t="str">
        <f>""""&amp;$C225&amp;""": "&amp;$E225&amp;IF(F225&lt;&gt;""," / "&amp;F225,"")</f>
        <v>"MeasurementOnSite": On-site measurements</v>
      </c>
      <c r="N225" t="str">
        <f>""""&amp;$C225&amp;""": "&amp;$I225&amp;IF(J225&lt;&gt;""," / "&amp;J225,"")</f>
        <v>"MeasurementOnSite": objektbezogene Messdaten (z.B. Modellprojekt)</v>
      </c>
      <c r="O225" s="143" t="str">
        <f t="shared" ca="1" si="77"/>
        <v>'MeasurementOnSite','ElevationClassification','NoDataSource','_NA_'</v>
      </c>
    </row>
    <row r="226" spans="1:15">
      <c r="A226" s="140"/>
      <c r="B226" s="141">
        <v>3</v>
      </c>
      <c r="C226" s="144" t="s">
        <v>1535</v>
      </c>
      <c r="D226" s="141"/>
      <c r="E226" s="144" t="s">
        <v>1536</v>
      </c>
      <c r="F226" s="144"/>
      <c r="G226" s="5"/>
      <c r="H226" s="5"/>
      <c r="I226" s="144" t="s">
        <v>1537</v>
      </c>
      <c r="J226" s="5"/>
      <c r="K226" s="5"/>
      <c r="L226" s="5"/>
      <c r="M226" t="str">
        <f t="shared" ref="M226:M227" si="80">""""&amp;$C226&amp;""": "&amp;$E226&amp;IF(F226&lt;&gt;""," / "&amp;F226,"")</f>
        <v>"ElevationClassification": Elevation / classification</v>
      </c>
      <c r="N226" t="str">
        <f t="shared" ref="N226:N227" si="81">""""&amp;$C226&amp;""": "&amp;$I226&amp;IF(J226&lt;&gt;""," / "&amp;J226,"")</f>
        <v>"ElevationClassification": Erhebung / Klassifizierung</v>
      </c>
      <c r="O226" s="143" t="str">
        <f t="shared" ca="1" si="77"/>
        <v>'ElevationClassification','NoDataSource','_NA_'</v>
      </c>
    </row>
    <row r="227" spans="1:15">
      <c r="A227" s="140"/>
      <c r="B227" s="141">
        <v>4</v>
      </c>
      <c r="C227" s="144" t="s">
        <v>70</v>
      </c>
      <c r="D227" s="141"/>
      <c r="E227" s="144" t="s">
        <v>1524</v>
      </c>
      <c r="F227" s="144"/>
      <c r="G227" s="5"/>
      <c r="H227" s="5"/>
      <c r="I227" s="144" t="s">
        <v>1525</v>
      </c>
      <c r="J227" s="5"/>
      <c r="K227" s="5"/>
      <c r="L227" s="5"/>
      <c r="M227" t="str">
        <f t="shared" si="80"/>
        <v>"NoDataSource": No data source</v>
      </c>
      <c r="N227" t="str">
        <f t="shared" si="81"/>
        <v>"NoDataSource": keine Datenquelle</v>
      </c>
      <c r="O227" s="143" t="str">
        <f t="shared" ca="1" si="77"/>
        <v>'NoDataSource','_NA_'</v>
      </c>
    </row>
    <row r="228" spans="1:15">
      <c r="A228" s="140"/>
      <c r="B228" s="141">
        <v>5</v>
      </c>
      <c r="C228" s="5" t="s">
        <v>41</v>
      </c>
      <c r="D228" s="141"/>
      <c r="E228" s="5" t="s">
        <v>1510</v>
      </c>
      <c r="F228" s="5"/>
      <c r="G228" s="5"/>
      <c r="H228" s="5"/>
      <c r="I228" s="5" t="s">
        <v>1511</v>
      </c>
      <c r="J228" s="5"/>
      <c r="K228" s="5"/>
      <c r="L228" s="5"/>
      <c r="M228" t="str">
        <f>""""&amp;$C228&amp;""": "&amp;$E228&amp;IF(F228&lt;&gt;""," / "&amp;F228,"")</f>
        <v>"_NA_": No information about data source</v>
      </c>
      <c r="N228" t="str">
        <f>""""&amp;$C228&amp;""": "&amp;$I228&amp;IF(J228&lt;&gt;""," / "&amp;J228,"")</f>
        <v>"_NA_": keine Information über die Datenquelle</v>
      </c>
      <c r="O228" s="143" t="str">
        <f t="shared" ca="1" si="77"/>
        <v>'_NA_'</v>
      </c>
    </row>
    <row r="229" spans="1:15" ht="19.5" customHeight="1">
      <c r="A229" s="133" t="s">
        <v>1538</v>
      </c>
      <c r="B229" s="134"/>
      <c r="C229" s="135"/>
      <c r="D229" s="136">
        <v>5</v>
      </c>
      <c r="E229" s="137" t="s">
        <v>1539</v>
      </c>
      <c r="F229" s="137"/>
      <c r="G229" s="137"/>
      <c r="H229" s="137"/>
      <c r="I229" s="137" t="s">
        <v>1540</v>
      </c>
      <c r="J229" s="137"/>
      <c r="K229" s="137"/>
      <c r="L229" s="137"/>
      <c r="M229" s="138" t="str">
        <f>"Pre-defined codes:"</f>
        <v>Pre-defined codes:</v>
      </c>
      <c r="N229" s="138" t="str">
        <f>"festgelegte Codes:"</f>
        <v>festgelegte Codes:</v>
      </c>
      <c r="O229" s="143" t="str">
        <f t="shared" ca="1" si="77"/>
        <v/>
      </c>
    </row>
    <row r="230" spans="1:15">
      <c r="A230" s="140"/>
      <c r="B230" s="141">
        <v>1</v>
      </c>
      <c r="C230" s="5" t="s">
        <v>1541</v>
      </c>
      <c r="D230" s="141"/>
      <c r="E230" s="5" t="s">
        <v>1542</v>
      </c>
      <c r="F230" s="144"/>
      <c r="G230" s="5"/>
      <c r="H230" s="5"/>
      <c r="I230" s="5" t="s">
        <v>1543</v>
      </c>
      <c r="J230" s="5"/>
      <c r="K230" s="5"/>
      <c r="L230" s="5"/>
      <c r="M230" t="str">
        <f>""""&amp;$C230&amp;""": "&amp;$E230&amp;IF(F230&lt;&gt;""," / "&amp;F230,"")</f>
        <v>"MeasurementDetailed": Detailed measurements building</v>
      </c>
      <c r="N230" t="str">
        <f>""""&amp;$C230&amp;""": "&amp;$I230&amp;IF(J230&lt;&gt;""," / "&amp;J230,"")</f>
        <v>"MeasurementDetailed": detaillierte Messdaten Gebäude</v>
      </c>
      <c r="O230" s="143" t="str">
        <f t="shared" ca="1" si="77"/>
        <v>'MeasurementDetailed','BillingData','StatementUser','NoDataSource','_NA_'</v>
      </c>
    </row>
    <row r="231" spans="1:15">
      <c r="A231" s="140"/>
      <c r="B231" s="141">
        <v>2</v>
      </c>
      <c r="C231" s="144" t="s">
        <v>1544</v>
      </c>
      <c r="D231" s="141"/>
      <c r="E231" s="5" t="s">
        <v>1545</v>
      </c>
      <c r="F231" s="144"/>
      <c r="G231" s="5"/>
      <c r="H231" s="5"/>
      <c r="I231" s="5" t="s">
        <v>1546</v>
      </c>
      <c r="J231" s="5"/>
      <c r="K231" s="5"/>
      <c r="L231" s="5"/>
      <c r="M231" t="str">
        <f t="shared" ref="M231" si="82">""""&amp;$C231&amp;""": "&amp;$E231&amp;IF(F231&lt;&gt;""," / "&amp;F231,"")</f>
        <v>"BillingData": Billing data</v>
      </c>
      <c r="N231" t="str">
        <f t="shared" ref="N231" si="83">""""&amp;$C231&amp;""": "&amp;$I231&amp;IF(J231&lt;&gt;""," / "&amp;J231,"")</f>
        <v>"BillingData": Abrechnungsdaten</v>
      </c>
      <c r="O231" s="143" t="str">
        <f t="shared" ca="1" si="77"/>
        <v>'BillingData','StatementUser','NoDataSource','_NA_'</v>
      </c>
    </row>
    <row r="232" spans="1:15" ht="20.399999999999999">
      <c r="A232" s="140"/>
      <c r="B232" s="141">
        <v>3</v>
      </c>
      <c r="C232" s="5" t="s">
        <v>1547</v>
      </c>
      <c r="D232" s="141"/>
      <c r="E232" s="5" t="s">
        <v>1548</v>
      </c>
      <c r="F232" s="5"/>
      <c r="G232" s="5"/>
      <c r="H232" s="5"/>
      <c r="I232" s="5" t="s">
        <v>1549</v>
      </c>
      <c r="J232" s="5"/>
      <c r="K232" s="5"/>
      <c r="L232" s="5"/>
      <c r="M232" t="str">
        <f>""""&amp;$C232&amp;""": "&amp;$E232&amp;IF(F232&lt;&gt;""," / "&amp;F232,"")</f>
        <v>"StatementUser": Information given by user (questionnaire)</v>
      </c>
      <c r="N232" t="str">
        <f>""""&amp;$C232&amp;""": "&amp;$I232&amp;IF(J232&lt;&gt;""," / "&amp;J232,"")</f>
        <v>"StatementUser": Angaben Nutzer (Fragebogen)</v>
      </c>
      <c r="O232" s="143" t="str">
        <f t="shared" ca="1" si="77"/>
        <v>'StatementUser','NoDataSource','_NA_'</v>
      </c>
    </row>
    <row r="233" spans="1:15">
      <c r="A233" s="140"/>
      <c r="B233" s="141">
        <v>4</v>
      </c>
      <c r="C233" s="144" t="s">
        <v>70</v>
      </c>
      <c r="D233" s="141"/>
      <c r="E233" s="5" t="s">
        <v>1550</v>
      </c>
      <c r="F233" s="144"/>
      <c r="G233" s="5"/>
      <c r="H233" s="5"/>
      <c r="I233" s="5" t="s">
        <v>1551</v>
      </c>
      <c r="J233" s="5"/>
      <c r="K233" s="5"/>
      <c r="L233" s="5"/>
      <c r="M233" t="str">
        <f t="shared" ref="M233:M234" si="84">""""&amp;$C233&amp;""": "&amp;$E233&amp;IF(F233&lt;&gt;""," / "&amp;F233,"")</f>
        <v>"NoDataSource": No data source regarding metering</v>
      </c>
      <c r="N233" t="str">
        <f t="shared" ref="N233:N234" si="85">""""&amp;$C233&amp;""": "&amp;$I233&amp;IF(J233&lt;&gt;""," / "&amp;J233,"")</f>
        <v>"NoDataSource": keine Datenquelle zum Verbrauch</v>
      </c>
      <c r="O233" s="143" t="str">
        <f t="shared" ca="1" si="77"/>
        <v>'NoDataSource','_NA_'</v>
      </c>
    </row>
    <row r="234" spans="1:15" ht="20.399999999999999">
      <c r="A234" s="140"/>
      <c r="B234" s="141">
        <v>5</v>
      </c>
      <c r="C234" s="5" t="s">
        <v>41</v>
      </c>
      <c r="D234" s="141"/>
      <c r="E234" s="5" t="s">
        <v>1552</v>
      </c>
      <c r="F234" s="5"/>
      <c r="G234" s="5"/>
      <c r="H234" s="5"/>
      <c r="I234" s="5" t="s">
        <v>1553</v>
      </c>
      <c r="J234" s="5"/>
      <c r="K234" s="5"/>
      <c r="L234" s="5"/>
      <c r="M234" t="str">
        <f t="shared" si="84"/>
        <v>"_NA_": No information about origin of data</v>
      </c>
      <c r="N234" t="str">
        <f t="shared" si="85"/>
        <v>"_NA_": keine Information über die Herkunft der Angaben</v>
      </c>
      <c r="O234" s="143" t="str">
        <f t="shared" ca="1" si="77"/>
        <v>'_NA_'</v>
      </c>
    </row>
    <row r="235" spans="1:15" ht="19.5" customHeight="1">
      <c r="A235" s="133" t="s">
        <v>1554</v>
      </c>
      <c r="B235" s="134"/>
      <c r="C235" s="135"/>
      <c r="D235" s="136">
        <v>4</v>
      </c>
      <c r="E235" s="137" t="s">
        <v>1555</v>
      </c>
      <c r="F235" s="137"/>
      <c r="G235" s="137"/>
      <c r="H235" s="137"/>
      <c r="I235" s="137" t="s">
        <v>1556</v>
      </c>
      <c r="J235" s="137"/>
      <c r="K235" s="137"/>
      <c r="L235" s="137"/>
      <c r="M235" s="138" t="str">
        <f>"Pre-defined codes:"</f>
        <v>Pre-defined codes:</v>
      </c>
      <c r="N235" s="138" t="str">
        <f>"festgelegte Codes:"</f>
        <v>festgelegte Codes:</v>
      </c>
      <c r="O235" s="143" t="str">
        <f t="shared" ca="1" si="77"/>
        <v/>
      </c>
    </row>
    <row r="236" spans="1:15" ht="30.6">
      <c r="A236" s="140"/>
      <c r="B236" s="141">
        <v>1</v>
      </c>
      <c r="C236" s="5" t="s">
        <v>1557</v>
      </c>
      <c r="D236" s="141"/>
      <c r="E236" s="5" t="s">
        <v>1558</v>
      </c>
      <c r="F236" s="144"/>
      <c r="G236" s="5"/>
      <c r="H236" s="5"/>
      <c r="I236" s="5" t="s">
        <v>1559</v>
      </c>
      <c r="J236" s="5"/>
      <c r="K236" s="5"/>
      <c r="L236" s="5"/>
      <c r="M236" t="str">
        <f>""""&amp;$C236&amp;""": "&amp;$E236&amp;IF(F236&lt;&gt;""," / "&amp;F236,"")</f>
        <v>"MeterBuilding": Meter for heating in the building (or delivery of fuels only for the building)</v>
      </c>
      <c r="N236" t="str">
        <f>""""&amp;$C236&amp;""": "&amp;$I236&amp;IF(J236&lt;&gt;""," / "&amp;J236,"")</f>
        <v>"MeterBuilding": Zähler direkt im Gebäude (oder Brennstoff-Lieferung nur für das Gebäude)</v>
      </c>
      <c r="O236" s="143" t="str">
        <f t="shared" ca="1" si="77"/>
        <v>'MeterBuilding','Allocation_MeterHeatingPlant','NoDataSource','_NA_'</v>
      </c>
    </row>
    <row r="237" spans="1:15" ht="30.6">
      <c r="A237" s="140"/>
      <c r="B237" s="141">
        <v>2</v>
      </c>
      <c r="C237" s="144" t="s">
        <v>1560</v>
      </c>
      <c r="D237" s="141"/>
      <c r="E237" s="5" t="s">
        <v>1561</v>
      </c>
      <c r="F237" s="144"/>
      <c r="G237" s="5"/>
      <c r="H237" s="5"/>
      <c r="I237" s="5" t="s">
        <v>1562</v>
      </c>
      <c r="J237" s="5"/>
      <c r="K237" s="5"/>
      <c r="L237" s="5"/>
      <c r="M237" t="str">
        <f t="shared" ref="M237:M238" si="86">""""&amp;$C237&amp;""": "&amp;$E237&amp;IF(F237&lt;&gt;""," / "&amp;F237,"")</f>
        <v>"Allocation_MeterHeatingPlant": Meter for several buildings (e.g. in heating plant) and rough allocation to the building</v>
      </c>
      <c r="N237" t="str">
        <f t="shared" ref="N237:N238" si="87">""""&amp;$C237&amp;""": "&amp;$I237&amp;IF(J237&lt;&gt;""," / "&amp;J237,"")</f>
        <v>"Allocation_MeterHeatingPlant": Zähler für mehrere Gebäude (z.B. in Heizzentrale) und grobe Zuordnung zum Gebäude*</v>
      </c>
      <c r="O237" s="143" t="str">
        <f t="shared" ca="1" si="77"/>
        <v>'Allocation_MeterHeatingPlant','NoDataSource','_NA_'</v>
      </c>
    </row>
    <row r="238" spans="1:15">
      <c r="A238" s="140"/>
      <c r="B238" s="141">
        <v>3</v>
      </c>
      <c r="C238" s="144" t="s">
        <v>70</v>
      </c>
      <c r="D238" s="141"/>
      <c r="E238" s="5" t="s">
        <v>1550</v>
      </c>
      <c r="F238" s="144"/>
      <c r="G238" s="5"/>
      <c r="H238" s="5"/>
      <c r="I238" s="5" t="s">
        <v>1551</v>
      </c>
      <c r="J238" s="5"/>
      <c r="K238" s="5"/>
      <c r="L238" s="5"/>
      <c r="M238" t="str">
        <f t="shared" si="86"/>
        <v>"NoDataSource": No data source regarding metering</v>
      </c>
      <c r="N238" t="str">
        <f t="shared" si="87"/>
        <v>"NoDataSource": keine Datenquelle zum Verbrauch</v>
      </c>
      <c r="O238" s="143" t="str">
        <f t="shared" ca="1" si="77"/>
        <v>'NoDataSource','_NA_'</v>
      </c>
    </row>
    <row r="239" spans="1:15" ht="20.399999999999999">
      <c r="A239" s="140"/>
      <c r="B239" s="141">
        <v>4</v>
      </c>
      <c r="C239" s="5" t="s">
        <v>41</v>
      </c>
      <c r="D239" s="141"/>
      <c r="E239" s="5" t="s">
        <v>1552</v>
      </c>
      <c r="F239" s="5"/>
      <c r="G239" s="5"/>
      <c r="H239" s="5"/>
      <c r="I239" s="5" t="s">
        <v>1553</v>
      </c>
      <c r="J239" s="5"/>
      <c r="K239" s="5"/>
      <c r="L239" s="5"/>
      <c r="M239" t="str">
        <f>""""&amp;$C239&amp;""": "&amp;$E239&amp;IF(F239&lt;&gt;""," / "&amp;F239,"")</f>
        <v>"_NA_": No information about origin of data</v>
      </c>
      <c r="N239" t="str">
        <f>""""&amp;$C239&amp;""": "&amp;$I239&amp;IF(J239&lt;&gt;""," / "&amp;J239,"")</f>
        <v>"_NA_": keine Information über die Herkunft der Angaben</v>
      </c>
      <c r="O239" s="143" t="str">
        <f t="shared" ca="1" si="77"/>
        <v>'_NA_'</v>
      </c>
    </row>
    <row r="240" spans="1:15" ht="19.5" customHeight="1">
      <c r="A240" s="133" t="s">
        <v>1563</v>
      </c>
      <c r="B240" s="134"/>
      <c r="C240" s="135"/>
      <c r="D240" s="136">
        <v>14</v>
      </c>
      <c r="E240" s="137" t="s">
        <v>1564</v>
      </c>
      <c r="F240" s="137"/>
      <c r="G240" s="137"/>
      <c r="H240" s="137"/>
      <c r="I240" s="137" t="s">
        <v>1565</v>
      </c>
      <c r="J240" s="137"/>
      <c r="K240" s="137" t="s">
        <v>1566</v>
      </c>
      <c r="L240" s="137"/>
      <c r="M240" s="138"/>
      <c r="N240" s="138"/>
      <c r="O240" s="143" t="str">
        <f t="shared" ca="1" si="77"/>
        <v/>
      </c>
    </row>
    <row r="241" spans="1:15">
      <c r="A241" s="140"/>
      <c r="B241" s="141">
        <v>1</v>
      </c>
      <c r="C241" s="5" t="s">
        <v>1567</v>
      </c>
      <c r="D241" s="141"/>
      <c r="E241" s="5" t="s">
        <v>1568</v>
      </c>
      <c r="F241" s="144"/>
      <c r="G241" s="5"/>
      <c r="H241" s="5"/>
      <c r="I241" s="5" t="s">
        <v>1569</v>
      </c>
      <c r="J241" s="5"/>
      <c r="K241" s="5"/>
      <c r="L241" s="5"/>
      <c r="O241" s="143" t="str">
        <f t="shared" ca="1" si="77"/>
        <v>'El','El_OP','Oil','Gas','Gas_Liquid','Bio_WP','Bio_FW','Bio_WC','Coal','Heat','Water_DHW','Other','-','_NA_'</v>
      </c>
    </row>
    <row r="242" spans="1:15">
      <c r="A242" s="140"/>
      <c r="B242" s="141">
        <v>2</v>
      </c>
      <c r="C242" s="5" t="s">
        <v>1570</v>
      </c>
      <c r="D242" s="141"/>
      <c r="E242" s="5" t="s">
        <v>1571</v>
      </c>
      <c r="F242" s="144"/>
      <c r="G242" s="5"/>
      <c r="H242" s="5"/>
      <c r="I242" s="5" t="s">
        <v>1572</v>
      </c>
      <c r="J242" s="5"/>
      <c r="K242" s="5"/>
      <c r="L242" s="5"/>
      <c r="O242" s="143" t="str">
        <f t="shared" ca="1" si="77"/>
        <v>'El_OP','Oil','Gas','Gas_Liquid','Bio_WP','Bio_FW','Bio_WC','Coal','Heat','Water_DHW','Other','-','_NA_'</v>
      </c>
    </row>
    <row r="243" spans="1:15">
      <c r="A243" s="140"/>
      <c r="B243" s="141">
        <v>3</v>
      </c>
      <c r="C243" s="5" t="s">
        <v>1449</v>
      </c>
      <c r="D243" s="141"/>
      <c r="E243" s="5" t="s">
        <v>1449</v>
      </c>
      <c r="F243" s="144"/>
      <c r="G243" s="5"/>
      <c r="H243" s="5"/>
      <c r="I243" s="5" t="s">
        <v>1451</v>
      </c>
      <c r="J243" s="5"/>
      <c r="K243" s="5"/>
      <c r="L243" s="5"/>
      <c r="O243" s="143" t="str">
        <f t="shared" ca="1" si="77"/>
        <v>'Oil','Gas','Gas_Liquid','Bio_WP','Bio_FW','Bio_WC','Coal','Heat','Water_DHW','Other','-','_NA_'</v>
      </c>
    </row>
    <row r="244" spans="1:15">
      <c r="A244" s="140"/>
      <c r="B244" s="141">
        <v>4</v>
      </c>
      <c r="C244" s="5" t="s">
        <v>1446</v>
      </c>
      <c r="D244" s="141"/>
      <c r="E244" s="5" t="s">
        <v>1446</v>
      </c>
      <c r="F244" s="144"/>
      <c r="G244" s="5"/>
      <c r="H244" s="5"/>
      <c r="I244" s="5" t="s">
        <v>1448</v>
      </c>
      <c r="J244" s="5"/>
      <c r="K244" s="5"/>
      <c r="L244" s="5"/>
      <c r="O244" s="143" t="str">
        <f t="shared" ca="1" si="77"/>
        <v>'Gas','Gas_Liquid','Bio_WP','Bio_FW','Bio_WC','Coal','Heat','Water_DHW','Other','-','_NA_'</v>
      </c>
    </row>
    <row r="245" spans="1:15">
      <c r="A245" s="140"/>
      <c r="B245" s="141">
        <v>5</v>
      </c>
      <c r="C245" s="5" t="s">
        <v>1452</v>
      </c>
      <c r="D245" s="141"/>
      <c r="E245" s="5" t="s">
        <v>1573</v>
      </c>
      <c r="F245" s="144"/>
      <c r="G245" s="5"/>
      <c r="H245" s="5"/>
      <c r="I245" s="5" t="s">
        <v>1454</v>
      </c>
      <c r="J245" s="5"/>
      <c r="K245" s="5"/>
      <c r="L245" s="5"/>
      <c r="O245" s="143" t="str">
        <f t="shared" ca="1" si="77"/>
        <v>'Gas_Liquid','Bio_WP','Bio_FW','Bio_WC','Coal','Heat','Water_DHW','Other','-','_NA_'</v>
      </c>
    </row>
    <row r="246" spans="1:15">
      <c r="A246" s="140"/>
      <c r="B246" s="141">
        <v>6</v>
      </c>
      <c r="C246" s="5" t="s">
        <v>1471</v>
      </c>
      <c r="D246" s="141"/>
      <c r="E246" s="5" t="s">
        <v>1574</v>
      </c>
      <c r="F246" s="144"/>
      <c r="G246" s="5"/>
      <c r="H246" s="5"/>
      <c r="I246" s="5" t="s">
        <v>1575</v>
      </c>
      <c r="J246" s="5"/>
      <c r="K246" s="5"/>
      <c r="L246" s="5"/>
      <c r="O246" s="143" t="str">
        <f t="shared" ca="1" si="77"/>
        <v>'Bio_WP','Bio_FW','Bio_WC','Coal','Heat','Water_DHW','Other','-','_NA_'</v>
      </c>
    </row>
    <row r="247" spans="1:15">
      <c r="A247" s="140"/>
      <c r="B247" s="141">
        <v>7</v>
      </c>
      <c r="C247" s="5" t="s">
        <v>1468</v>
      </c>
      <c r="D247" s="141"/>
      <c r="E247" s="5" t="s">
        <v>1576</v>
      </c>
      <c r="F247" s="144"/>
      <c r="G247" s="5"/>
      <c r="H247" s="5"/>
      <c r="I247" s="5" t="s">
        <v>1470</v>
      </c>
      <c r="J247" s="5"/>
      <c r="K247" s="5"/>
      <c r="L247" s="5"/>
      <c r="O247" s="143" t="str">
        <f t="shared" ca="1" si="77"/>
        <v>'Bio_FW','Bio_WC','Coal','Heat','Water_DHW','Other','-','_NA_'</v>
      </c>
    </row>
    <row r="248" spans="1:15">
      <c r="A248" s="140"/>
      <c r="B248" s="141">
        <v>8</v>
      </c>
      <c r="C248" s="5" t="s">
        <v>1473</v>
      </c>
      <c r="D248" s="141"/>
      <c r="E248" s="5" t="s">
        <v>1474</v>
      </c>
      <c r="F248" s="144"/>
      <c r="G248" s="5"/>
      <c r="H248" s="5"/>
      <c r="I248" s="5" t="s">
        <v>1475</v>
      </c>
      <c r="J248" s="5"/>
      <c r="K248" s="5"/>
      <c r="L248" s="5"/>
      <c r="O248" s="143" t="str">
        <f t="shared" ca="1" si="77"/>
        <v>'Bio_WC','Coal','Heat','Water_DHW','Other','-','_NA_'</v>
      </c>
    </row>
    <row r="249" spans="1:15">
      <c r="A249" s="140"/>
      <c r="B249" s="141">
        <v>9</v>
      </c>
      <c r="C249" s="5" t="s">
        <v>1476</v>
      </c>
      <c r="D249" s="141"/>
      <c r="E249" s="5" t="s">
        <v>1476</v>
      </c>
      <c r="F249" s="144"/>
      <c r="G249" s="5"/>
      <c r="H249" s="5"/>
      <c r="I249" s="5" t="s">
        <v>1477</v>
      </c>
      <c r="J249" s="5"/>
      <c r="K249" s="5"/>
      <c r="L249" s="5"/>
      <c r="O249" s="143" t="str">
        <f t="shared" ca="1" si="77"/>
        <v>'Coal','Heat','Water_DHW','Other','-','_NA_'</v>
      </c>
    </row>
    <row r="250" spans="1:15">
      <c r="A250" s="140"/>
      <c r="B250" s="141">
        <v>10</v>
      </c>
      <c r="C250" s="5" t="s">
        <v>1577</v>
      </c>
      <c r="D250" s="141"/>
      <c r="E250" s="5" t="s">
        <v>1577</v>
      </c>
      <c r="F250" s="144"/>
      <c r="G250" s="5"/>
      <c r="H250" s="5"/>
      <c r="I250" s="5" t="s">
        <v>1578</v>
      </c>
      <c r="J250" s="5"/>
      <c r="K250" s="5"/>
      <c r="L250" s="5"/>
      <c r="O250" s="143" t="str">
        <f t="shared" ca="1" si="77"/>
        <v>'Heat','Water_DHW','Other','-','_NA_'</v>
      </c>
    </row>
    <row r="251" spans="1:15">
      <c r="A251" s="140"/>
      <c r="B251" s="141">
        <v>11</v>
      </c>
      <c r="C251" s="5" t="s">
        <v>1579</v>
      </c>
      <c r="D251" s="141"/>
      <c r="E251" s="5" t="s">
        <v>1580</v>
      </c>
      <c r="F251" s="144"/>
      <c r="G251" s="5"/>
      <c r="H251" s="5"/>
      <c r="I251" s="5" t="s">
        <v>1581</v>
      </c>
      <c r="J251" s="5"/>
      <c r="K251" s="5"/>
      <c r="L251" s="5"/>
      <c r="O251" s="143" t="str">
        <f t="shared" ca="1" si="77"/>
        <v>'Water_DHW','Other','-','_NA_'</v>
      </c>
    </row>
    <row r="252" spans="1:15">
      <c r="A252" s="140"/>
      <c r="B252" s="141">
        <v>12</v>
      </c>
      <c r="C252" s="5" t="s">
        <v>1478</v>
      </c>
      <c r="D252" s="141"/>
      <c r="E252" s="5" t="s">
        <v>1478</v>
      </c>
      <c r="F252" s="144"/>
      <c r="G252" s="5"/>
      <c r="H252" s="5"/>
      <c r="I252" s="5" t="s">
        <v>1582</v>
      </c>
      <c r="J252" s="5"/>
      <c r="K252" s="5"/>
      <c r="L252" s="5"/>
      <c r="O252" s="143" t="str">
        <f t="shared" ca="1" si="77"/>
        <v>'Other','-','_NA_'</v>
      </c>
    </row>
    <row r="253" spans="1:15">
      <c r="A253" s="140"/>
      <c r="B253" s="141">
        <v>13</v>
      </c>
      <c r="C253" s="5" t="s">
        <v>1266</v>
      </c>
      <c r="D253" s="141"/>
      <c r="E253" s="5" t="s">
        <v>1583</v>
      </c>
      <c r="F253" s="144"/>
      <c r="G253" s="5"/>
      <c r="H253" s="5"/>
      <c r="I253" s="5" t="s">
        <v>1584</v>
      </c>
      <c r="J253" s="5"/>
      <c r="K253" s="5"/>
      <c r="L253" s="5"/>
      <c r="O253" s="143" t="str">
        <f t="shared" ca="1" si="77"/>
        <v>'-','_NA_'</v>
      </c>
    </row>
    <row r="254" spans="1:15">
      <c r="A254" s="140"/>
      <c r="B254" s="141">
        <v>14</v>
      </c>
      <c r="C254" s="5" t="s">
        <v>41</v>
      </c>
      <c r="D254" s="141"/>
      <c r="E254" s="5" t="s">
        <v>1051</v>
      </c>
      <c r="F254" s="5" t="s">
        <v>1052</v>
      </c>
      <c r="G254" s="5"/>
      <c r="H254" s="5"/>
      <c r="I254" s="5" t="s">
        <v>1053</v>
      </c>
      <c r="J254" s="5" t="s">
        <v>1054</v>
      </c>
      <c r="K254" s="5"/>
      <c r="L254" s="5"/>
      <c r="O254" s="143" t="str">
        <f t="shared" ca="1" si="77"/>
        <v>'_NA_'</v>
      </c>
    </row>
    <row r="255" spans="1:15" ht="19.5" customHeight="1">
      <c r="A255" s="133" t="s">
        <v>1585</v>
      </c>
      <c r="B255" s="134"/>
      <c r="C255" s="135"/>
      <c r="D255" s="136">
        <v>13</v>
      </c>
      <c r="E255" s="137" t="s">
        <v>1586</v>
      </c>
      <c r="F255" s="137"/>
      <c r="G255" s="137"/>
      <c r="H255" s="137"/>
      <c r="I255" s="137" t="s">
        <v>1587</v>
      </c>
      <c r="J255" s="137"/>
      <c r="K255" s="137"/>
      <c r="L255" s="137"/>
      <c r="M255" s="138"/>
      <c r="N255" s="138"/>
      <c r="O255" s="143" t="str">
        <f t="shared" ca="1" si="77"/>
        <v/>
      </c>
    </row>
    <row r="256" spans="1:15">
      <c r="A256" s="140"/>
      <c r="B256" s="141">
        <v>1</v>
      </c>
      <c r="C256" s="5" t="s">
        <v>1588</v>
      </c>
      <c r="D256" s="141"/>
      <c r="E256" s="5" t="s">
        <v>1588</v>
      </c>
      <c r="F256" s="144"/>
      <c r="G256" s="5"/>
      <c r="H256" s="5"/>
      <c r="I256" s="5" t="s">
        <v>1588</v>
      </c>
      <c r="J256" s="5"/>
      <c r="K256" s="5"/>
      <c r="L256" s="5"/>
      <c r="O256" s="143" t="str">
        <f t="shared" ca="1" si="77"/>
        <v>'kWh','MWh','MJ','GJ','l','m³','kg','t','m³(piled)','m³(heaped)','m³(stacked)','Other','_NA_'</v>
      </c>
    </row>
    <row r="257" spans="1:15">
      <c r="A257" s="140"/>
      <c r="B257" s="141">
        <v>2</v>
      </c>
      <c r="C257" s="5" t="s">
        <v>1589</v>
      </c>
      <c r="D257" s="141"/>
      <c r="E257" s="5" t="s">
        <v>1589</v>
      </c>
      <c r="F257" s="144"/>
      <c r="G257" s="5"/>
      <c r="H257" s="5"/>
      <c r="I257" s="5" t="s">
        <v>1589</v>
      </c>
      <c r="J257" s="5"/>
      <c r="K257" s="5"/>
      <c r="L257" s="5"/>
      <c r="O257" s="143" t="str">
        <f t="shared" ca="1" si="77"/>
        <v>'MWh','MJ','GJ','l','m³','kg','t','m³(piled)','m³(heaped)','m³(stacked)','Other','_NA_'</v>
      </c>
    </row>
    <row r="258" spans="1:15">
      <c r="A258" s="140"/>
      <c r="B258" s="141">
        <v>3</v>
      </c>
      <c r="C258" s="5" t="s">
        <v>1590</v>
      </c>
      <c r="D258" s="141"/>
      <c r="E258" s="5" t="s">
        <v>1590</v>
      </c>
      <c r="F258" s="144"/>
      <c r="G258" s="5"/>
      <c r="H258" s="5"/>
      <c r="I258" s="5" t="s">
        <v>1590</v>
      </c>
      <c r="J258" s="5"/>
      <c r="K258" s="5"/>
      <c r="L258" s="5"/>
      <c r="O258" s="143" t="str">
        <f t="shared" ca="1" si="77"/>
        <v>'MJ','GJ','l','m³','kg','t','m³(piled)','m³(heaped)','m³(stacked)','Other','_NA_'</v>
      </c>
    </row>
    <row r="259" spans="1:15">
      <c r="A259" s="140"/>
      <c r="B259" s="141">
        <v>4</v>
      </c>
      <c r="C259" s="5" t="s">
        <v>1591</v>
      </c>
      <c r="D259" s="141"/>
      <c r="E259" s="5" t="s">
        <v>1591</v>
      </c>
      <c r="F259" s="144"/>
      <c r="G259" s="5"/>
      <c r="H259" s="5"/>
      <c r="I259" s="5" t="s">
        <v>1591</v>
      </c>
      <c r="J259" s="5"/>
      <c r="K259" s="5"/>
      <c r="L259" s="5"/>
      <c r="O259" s="143" t="str">
        <f t="shared" ca="1" si="77"/>
        <v>'GJ','l','m³','kg','t','m³(piled)','m³(heaped)','m³(stacked)','Other','_NA_'</v>
      </c>
    </row>
    <row r="260" spans="1:15">
      <c r="A260" s="140"/>
      <c r="B260" s="141">
        <v>5</v>
      </c>
      <c r="C260" s="5" t="s">
        <v>1592</v>
      </c>
      <c r="D260" s="141"/>
      <c r="E260" s="5" t="s">
        <v>1592</v>
      </c>
      <c r="F260" s="144"/>
      <c r="G260" s="5"/>
      <c r="H260" s="5"/>
      <c r="I260" s="5" t="s">
        <v>1593</v>
      </c>
      <c r="J260" s="5"/>
      <c r="K260" s="5"/>
      <c r="L260" s="5"/>
      <c r="O260" s="143" t="str">
        <f t="shared" ca="1" si="77"/>
        <v>'l','m³','kg','t','m³(piled)','m³(heaped)','m³(stacked)','Other','_NA_'</v>
      </c>
    </row>
    <row r="261" spans="1:15">
      <c r="A261" s="140"/>
      <c r="B261" s="141">
        <v>6</v>
      </c>
      <c r="C261" s="5" t="s">
        <v>1594</v>
      </c>
      <c r="D261" s="141"/>
      <c r="E261" s="5" t="s">
        <v>1594</v>
      </c>
      <c r="F261" s="144" t="s">
        <v>1595</v>
      </c>
      <c r="G261" s="5"/>
      <c r="H261" s="5"/>
      <c r="I261" s="5" t="s">
        <v>1594</v>
      </c>
      <c r="J261" s="5" t="s">
        <v>1596</v>
      </c>
      <c r="K261" s="5"/>
      <c r="L261" s="5"/>
      <c r="O261" s="143" t="str">
        <f t="shared" ca="1" si="77"/>
        <v>'m³','kg','t','m³(piled)','m³(heaped)','m³(stacked)','Other','_NA_'</v>
      </c>
    </row>
    <row r="262" spans="1:15">
      <c r="A262" s="140"/>
      <c r="B262" s="141">
        <v>7</v>
      </c>
      <c r="C262" s="5" t="s">
        <v>1597</v>
      </c>
      <c r="D262" s="141"/>
      <c r="E262" s="5" t="s">
        <v>1597</v>
      </c>
      <c r="F262" s="144"/>
      <c r="G262" s="5"/>
      <c r="H262" s="5"/>
      <c r="I262" s="5" t="s">
        <v>1597</v>
      </c>
      <c r="J262" s="5"/>
      <c r="K262" s="5"/>
      <c r="L262" s="5"/>
      <c r="O262" s="143" t="str">
        <f t="shared" ca="1" si="77"/>
        <v>'kg','t','m³(piled)','m³(heaped)','m³(stacked)','Other','_NA_'</v>
      </c>
    </row>
    <row r="263" spans="1:15">
      <c r="A263" s="140"/>
      <c r="B263" s="141">
        <v>8</v>
      </c>
      <c r="C263" s="5" t="s">
        <v>1598</v>
      </c>
      <c r="D263" s="141"/>
      <c r="E263" s="5" t="s">
        <v>1598</v>
      </c>
      <c r="F263" s="144"/>
      <c r="G263" s="5"/>
      <c r="H263" s="5"/>
      <c r="I263" s="5" t="s">
        <v>1599</v>
      </c>
      <c r="J263" s="5"/>
      <c r="K263" s="5"/>
      <c r="L263" s="5"/>
      <c r="O263" s="143" t="str">
        <f t="shared" ca="1" si="77"/>
        <v>'t','m³(piled)','m³(heaped)','m³(stacked)','Other','_NA_'</v>
      </c>
    </row>
    <row r="264" spans="1:15">
      <c r="A264" s="140"/>
      <c r="B264" s="141">
        <v>9</v>
      </c>
      <c r="C264" s="5" t="s">
        <v>1600</v>
      </c>
      <c r="D264" s="141"/>
      <c r="E264" s="5" t="s">
        <v>1600</v>
      </c>
      <c r="F264" s="144" t="s">
        <v>1601</v>
      </c>
      <c r="G264" s="5"/>
      <c r="H264" s="5"/>
      <c r="I264" s="5" t="s">
        <v>1602</v>
      </c>
      <c r="J264" s="5" t="s">
        <v>1603</v>
      </c>
      <c r="K264" s="5"/>
      <c r="L264" s="5"/>
      <c r="O264" s="143" t="str">
        <f t="shared" ca="1" si="77"/>
        <v>'m³(piled)','m³(heaped)','m³(stacked)','Other','_NA_'</v>
      </c>
    </row>
    <row r="265" spans="1:15" ht="20.399999999999999">
      <c r="A265" s="140"/>
      <c r="B265" s="141">
        <v>10</v>
      </c>
      <c r="C265" s="5" t="s">
        <v>1604</v>
      </c>
      <c r="D265" s="141"/>
      <c r="E265" s="5" t="s">
        <v>1604</v>
      </c>
      <c r="F265" s="144" t="s">
        <v>1605</v>
      </c>
      <c r="G265" s="5"/>
      <c r="H265" s="5"/>
      <c r="I265" s="5" t="s">
        <v>1606</v>
      </c>
      <c r="J265" s="5" t="s">
        <v>1607</v>
      </c>
      <c r="K265" s="5"/>
      <c r="L265" s="5"/>
      <c r="O265" s="143" t="str">
        <f t="shared" ca="1" si="77"/>
        <v>'m³(heaped)','m³(stacked)','Other','_NA_'</v>
      </c>
    </row>
    <row r="266" spans="1:15">
      <c r="A266" s="140"/>
      <c r="B266" s="141">
        <v>11</v>
      </c>
      <c r="C266" s="5" t="s">
        <v>1608</v>
      </c>
      <c r="D266" s="141"/>
      <c r="E266" s="5" t="s">
        <v>1608</v>
      </c>
      <c r="F266" s="144"/>
      <c r="G266" s="5"/>
      <c r="H266" s="5"/>
      <c r="I266" s="5" t="s">
        <v>1609</v>
      </c>
      <c r="J266" s="5"/>
      <c r="K266" s="5"/>
      <c r="L266" s="5"/>
      <c r="O266" s="143" t="str">
        <f t="shared" ca="1" si="77"/>
        <v>'m³(stacked)','Other','_NA_'</v>
      </c>
    </row>
    <row r="267" spans="1:15">
      <c r="A267" s="140"/>
      <c r="B267" s="141">
        <v>12</v>
      </c>
      <c r="C267" s="5" t="s">
        <v>1478</v>
      </c>
      <c r="D267" s="141"/>
      <c r="E267" s="5" t="s">
        <v>1610</v>
      </c>
      <c r="F267" s="144"/>
      <c r="G267" s="5"/>
      <c r="H267" s="5"/>
      <c r="I267" s="5" t="s">
        <v>1611</v>
      </c>
      <c r="J267" s="5"/>
      <c r="K267" s="5"/>
      <c r="L267" s="5"/>
      <c r="O267" s="143" t="str">
        <f t="shared" ca="1" si="77"/>
        <v>'Other','_NA_'</v>
      </c>
    </row>
    <row r="268" spans="1:15">
      <c r="A268" s="140"/>
      <c r="B268" s="141">
        <v>13</v>
      </c>
      <c r="C268" s="5" t="s">
        <v>41</v>
      </c>
      <c r="D268" s="141"/>
      <c r="E268" s="5" t="s">
        <v>1051</v>
      </c>
      <c r="F268" s="5" t="s">
        <v>1052</v>
      </c>
      <c r="G268" s="5"/>
      <c r="H268" s="5"/>
      <c r="I268" s="5" t="s">
        <v>1053</v>
      </c>
      <c r="J268" s="5" t="s">
        <v>1054</v>
      </c>
      <c r="K268" s="5"/>
      <c r="L268" s="5"/>
      <c r="O268" s="143" t="str">
        <f t="shared" ca="1" si="77"/>
        <v>'_NA_'</v>
      </c>
    </row>
    <row r="269" spans="1:15" ht="19.5" customHeight="1">
      <c r="A269" s="133" t="s">
        <v>1612</v>
      </c>
      <c r="B269" s="134"/>
      <c r="C269" s="135"/>
      <c r="D269" s="136">
        <v>4</v>
      </c>
      <c r="E269" s="137" t="s">
        <v>1613</v>
      </c>
      <c r="F269" s="137"/>
      <c r="G269" s="137"/>
      <c r="H269" s="137"/>
      <c r="I269" s="137" t="s">
        <v>1614</v>
      </c>
      <c r="J269" s="137"/>
      <c r="K269" s="137"/>
      <c r="L269" s="137"/>
      <c r="M269" s="138"/>
      <c r="N269" s="138"/>
      <c r="O269" s="143" t="str">
        <f t="shared" ca="1" si="77"/>
        <v/>
      </c>
    </row>
    <row r="270" spans="1:15">
      <c r="A270" s="140"/>
      <c r="B270" s="141">
        <v>1</v>
      </c>
      <c r="C270" s="5" t="s">
        <v>1615</v>
      </c>
      <c r="D270" s="141"/>
      <c r="E270" s="5" t="s">
        <v>1616</v>
      </c>
      <c r="F270" s="144"/>
      <c r="G270" s="5"/>
      <c r="H270" s="5"/>
      <c r="I270" s="5" t="s">
        <v>1617</v>
      </c>
      <c r="J270" s="5" t="s">
        <v>1618</v>
      </c>
      <c r="K270" s="5"/>
      <c r="L270" s="5"/>
      <c r="O270" s="143" t="str">
        <f t="shared" ca="1" si="77"/>
        <v>'Gross','Net','Unknown','_NA_'</v>
      </c>
    </row>
    <row r="271" spans="1:15">
      <c r="A271" s="140"/>
      <c r="B271" s="141">
        <v>2</v>
      </c>
      <c r="C271" s="5" t="s">
        <v>1619</v>
      </c>
      <c r="D271" s="141"/>
      <c r="E271" s="5" t="s">
        <v>1620</v>
      </c>
      <c r="F271" s="144"/>
      <c r="G271" s="5"/>
      <c r="H271" s="5"/>
      <c r="I271" s="5" t="s">
        <v>1621</v>
      </c>
      <c r="J271" s="5"/>
      <c r="K271" s="5"/>
      <c r="L271" s="5"/>
      <c r="O271" s="143" t="str">
        <f t="shared" ca="1" si="77"/>
        <v>'Net','Unknown','_NA_'</v>
      </c>
    </row>
    <row r="272" spans="1:15">
      <c r="A272" s="140"/>
      <c r="B272" s="141">
        <v>3</v>
      </c>
      <c r="C272" s="5" t="s">
        <v>1062</v>
      </c>
      <c r="D272" s="141"/>
      <c r="E272" s="5" t="s">
        <v>1622</v>
      </c>
      <c r="F272" s="144"/>
      <c r="G272" s="5"/>
      <c r="H272" s="5"/>
      <c r="I272" s="5" t="s">
        <v>1064</v>
      </c>
      <c r="J272" s="5"/>
      <c r="K272" s="5"/>
      <c r="L272" s="5"/>
      <c r="O272" s="143" t="str">
        <f t="shared" ca="1" si="77"/>
        <v>'Unknown','_NA_'</v>
      </c>
    </row>
    <row r="273" spans="1:15">
      <c r="A273" s="140"/>
      <c r="B273" s="141">
        <v>4</v>
      </c>
      <c r="C273" s="5" t="s">
        <v>41</v>
      </c>
      <c r="D273" s="141"/>
      <c r="E273" s="5" t="s">
        <v>1051</v>
      </c>
      <c r="F273" s="5" t="s">
        <v>1052</v>
      </c>
      <c r="G273" s="5"/>
      <c r="H273" s="5"/>
      <c r="I273" s="5" t="s">
        <v>1053</v>
      </c>
      <c r="J273" s="5" t="s">
        <v>1054</v>
      </c>
      <c r="K273" s="5"/>
      <c r="L273" s="5"/>
      <c r="O273" s="143" t="str">
        <f t="shared" ca="1" si="77"/>
        <v>'_NA_'</v>
      </c>
    </row>
    <row r="274" spans="1:15" ht="19.5" customHeight="1">
      <c r="A274" s="133" t="s">
        <v>1623</v>
      </c>
      <c r="B274" s="134"/>
      <c r="C274" s="135"/>
      <c r="D274" s="136">
        <v>6</v>
      </c>
      <c r="E274" s="137" t="s">
        <v>1624</v>
      </c>
      <c r="F274" s="137"/>
      <c r="G274" s="137"/>
      <c r="H274" s="137"/>
      <c r="I274" s="137" t="s">
        <v>1625</v>
      </c>
      <c r="J274" s="137"/>
      <c r="K274" s="137"/>
      <c r="L274" s="137"/>
      <c r="M274" s="138" t="str">
        <f>"Pre-defined codes:"</f>
        <v>Pre-defined codes:</v>
      </c>
      <c r="N274" s="138" t="str">
        <f>"festgelegte Codes:"</f>
        <v>festgelegte Codes:</v>
      </c>
      <c r="O274" s="143" t="str">
        <f t="shared" ca="1" si="77"/>
        <v/>
      </c>
    </row>
    <row r="275" spans="1:15">
      <c r="A275" s="140"/>
      <c r="B275" s="145">
        <v>1</v>
      </c>
      <c r="C275" s="146" t="s">
        <v>1626</v>
      </c>
      <c r="D275" s="145"/>
      <c r="E275" s="146" t="s">
        <v>1627</v>
      </c>
      <c r="F275" s="147"/>
      <c r="G275" s="147"/>
      <c r="H275" s="147"/>
      <c r="I275" s="147" t="s">
        <v>1628</v>
      </c>
      <c r="J275" s="146"/>
      <c r="K275" s="147"/>
      <c r="L275" s="147"/>
      <c r="M275" t="str">
        <f>""""&amp;$C275&amp;""": "&amp;$E275&amp;IF(F275&lt;&gt;""," / "&amp;F275,"")</f>
        <v>"H": Heating</v>
      </c>
      <c r="N275" t="str">
        <f>""""&amp;$C275&amp;""": "&amp;$I275&amp;IF(J275&lt;&gt;""," / "&amp;J275,"")</f>
        <v>"H": Heizung</v>
      </c>
      <c r="O275" s="143" t="str">
        <f t="shared" ca="1" si="77"/>
        <v>'H','H+W','W','VolW','Other','_NA_'</v>
      </c>
    </row>
    <row r="276" spans="1:15">
      <c r="A276" s="140"/>
      <c r="B276" s="145">
        <v>2</v>
      </c>
      <c r="C276" s="146" t="s">
        <v>1629</v>
      </c>
      <c r="D276" s="145"/>
      <c r="E276" s="146" t="s">
        <v>1630</v>
      </c>
      <c r="F276" s="147"/>
      <c r="G276" s="147"/>
      <c r="H276" s="147"/>
      <c r="I276" s="147" t="s">
        <v>1631</v>
      </c>
      <c r="J276" s="146"/>
      <c r="K276" s="147"/>
      <c r="L276" s="147"/>
      <c r="M276" t="str">
        <f t="shared" ref="M276:M280" si="88">""""&amp;$C276&amp;""": "&amp;$E276&amp;IF(F276&lt;&gt;""," / "&amp;F276,"")</f>
        <v>"H+W": Heating + domestic hot water</v>
      </c>
      <c r="N276" t="str">
        <f t="shared" ref="N276:N280" si="89">""""&amp;$C276&amp;""": "&amp;$I276&amp;IF(J276&lt;&gt;""," / "&amp;J276,"")</f>
        <v>"H+W": Heizung + Warmwasser</v>
      </c>
      <c r="O276" s="143" t="str">
        <f t="shared" ca="1" si="77"/>
        <v>'H+W','W','VolW','Other','_NA_'</v>
      </c>
    </row>
    <row r="277" spans="1:15">
      <c r="A277" s="140"/>
      <c r="B277" s="145">
        <v>3</v>
      </c>
      <c r="C277" s="146" t="s">
        <v>1632</v>
      </c>
      <c r="D277" s="145"/>
      <c r="E277" s="146" t="s">
        <v>1633</v>
      </c>
      <c r="F277" s="147"/>
      <c r="G277" s="147"/>
      <c r="H277" s="147"/>
      <c r="I277" s="147" t="s">
        <v>1634</v>
      </c>
      <c r="J277" s="146"/>
      <c r="K277" s="147"/>
      <c r="L277" s="147"/>
      <c r="M277" t="str">
        <f t="shared" si="88"/>
        <v>"W": Domestic hot water</v>
      </c>
      <c r="N277" t="str">
        <f t="shared" si="89"/>
        <v>"W": Warmwasser</v>
      </c>
      <c r="O277" s="143" t="str">
        <f t="shared" ca="1" si="77"/>
        <v>'W','VolW','Other','_NA_'</v>
      </c>
    </row>
    <row r="278" spans="1:15">
      <c r="A278" s="140"/>
      <c r="B278" s="145">
        <v>4</v>
      </c>
      <c r="C278" s="146" t="s">
        <v>1635</v>
      </c>
      <c r="D278" s="145"/>
      <c r="E278" s="146" t="s">
        <v>1636</v>
      </c>
      <c r="F278" s="147"/>
      <c r="G278" s="147"/>
      <c r="H278" s="147"/>
      <c r="I278" s="147" t="s">
        <v>1637</v>
      </c>
      <c r="J278" s="146"/>
      <c r="K278" s="147"/>
      <c r="L278" s="147"/>
      <c r="M278" t="str">
        <f t="shared" si="88"/>
        <v>"VolW": Volume domestic hot water</v>
      </c>
      <c r="N278" t="str">
        <f t="shared" si="89"/>
        <v>"VolW": Warmwasser-Volumen</v>
      </c>
      <c r="O278" s="143" t="str">
        <f t="shared" ca="1" si="77"/>
        <v>'VolW','Other','_NA_'</v>
      </c>
    </row>
    <row r="279" spans="1:15">
      <c r="A279" s="140"/>
      <c r="B279" s="145">
        <v>5</v>
      </c>
      <c r="C279" s="147" t="s">
        <v>1478</v>
      </c>
      <c r="D279" s="145"/>
      <c r="E279" s="147" t="s">
        <v>1638</v>
      </c>
      <c r="F279" s="147"/>
      <c r="G279" s="147"/>
      <c r="H279" s="147"/>
      <c r="I279" s="147" t="s">
        <v>1639</v>
      </c>
      <c r="J279" s="147"/>
      <c r="K279" s="147"/>
      <c r="L279" s="147"/>
      <c r="M279" t="str">
        <f t="shared" si="88"/>
        <v>"Other": Other comparison</v>
      </c>
      <c r="N279" t="str">
        <f>""""&amp;$C279&amp;""": "&amp;$I279&amp;IF(J279&lt;&gt;""," / "&amp;J279,"")</f>
        <v>"Other": Anderer Vergleich</v>
      </c>
      <c r="O279" s="143" t="str">
        <f t="shared" ca="1" si="77"/>
        <v>'Other','_NA_'</v>
      </c>
    </row>
    <row r="280" spans="1:15">
      <c r="A280" s="140"/>
      <c r="B280" s="145">
        <v>6</v>
      </c>
      <c r="C280" s="147" t="s">
        <v>41</v>
      </c>
      <c r="D280" s="145"/>
      <c r="E280" s="147" t="s">
        <v>1640</v>
      </c>
      <c r="F280" s="147"/>
      <c r="G280" s="147"/>
      <c r="H280" s="147"/>
      <c r="I280" s="147" t="s">
        <v>1641</v>
      </c>
      <c r="J280" s="147"/>
      <c r="K280" s="147"/>
      <c r="L280" s="147"/>
      <c r="M280" t="str">
        <f t="shared" si="88"/>
        <v>"_NA_": Not defined</v>
      </c>
      <c r="N280" t="str">
        <f t="shared" si="89"/>
        <v>"_NA_": nicht definiert</v>
      </c>
      <c r="O280" s="143" t="str">
        <f t="shared" ca="1" si="77"/>
        <v>'_NA_'</v>
      </c>
    </row>
    <row r="281" spans="1:15" ht="19.5" customHeight="1">
      <c r="A281" s="133" t="s">
        <v>1642</v>
      </c>
      <c r="B281" s="134"/>
      <c r="C281" s="135"/>
      <c r="D281" s="136">
        <v>4</v>
      </c>
      <c r="E281" s="137" t="s">
        <v>1624</v>
      </c>
      <c r="F281" s="137"/>
      <c r="G281" s="137"/>
      <c r="H281" s="137"/>
      <c r="I281" s="137" t="s">
        <v>1625</v>
      </c>
      <c r="J281" s="137"/>
      <c r="K281" s="137"/>
      <c r="L281" s="137"/>
      <c r="M281" s="138" t="str">
        <f>"Pre-defined codes:"</f>
        <v>Pre-defined codes:</v>
      </c>
      <c r="N281" s="138" t="str">
        <f>"festgelegte Codes:"</f>
        <v>festgelegte Codes:</v>
      </c>
      <c r="O281" s="143" t="str">
        <f t="shared" ca="1" si="77"/>
        <v/>
      </c>
    </row>
    <row r="282" spans="1:15">
      <c r="A282" s="140"/>
      <c r="B282" s="148">
        <v>1</v>
      </c>
      <c r="C282" s="149" t="s">
        <v>1643</v>
      </c>
      <c r="D282" s="148"/>
      <c r="E282" s="149" t="s">
        <v>59</v>
      </c>
      <c r="F282" s="149"/>
      <c r="G282" s="150"/>
      <c r="H282" s="150"/>
      <c r="I282" s="149" t="s">
        <v>1644</v>
      </c>
      <c r="J282" s="149"/>
      <c r="K282" s="5"/>
      <c r="L282" s="5"/>
      <c r="M282" t="str">
        <f>""""&amp;$C282&amp;""": "&amp;$E282&amp;IF(F282&lt;&gt;""," / "&amp;F282,"")</f>
        <v>"+": Add</v>
      </c>
      <c r="N282" t="str">
        <f>""""&amp;$C282&amp;""": "&amp;$I282&amp;IF(J282&lt;&gt;""," / "&amp;J282,"")</f>
        <v>"+": Addieren</v>
      </c>
      <c r="O282" s="143" t="str">
        <f ca="1">IF(C282&lt;&gt;"","'"&amp;C282&amp;"'"&amp;IF(OFFSET(O282,1,0)&lt;&gt;"",","&amp;OFFSET(O282,1,0),""),"")</f>
        <v>'+','–','0','_NA_'</v>
      </c>
    </row>
    <row r="283" spans="1:15">
      <c r="A283" s="140"/>
      <c r="B283" s="148">
        <v>2</v>
      </c>
      <c r="C283" s="149" t="s">
        <v>1645</v>
      </c>
      <c r="D283" s="148"/>
      <c r="E283" s="149" t="s">
        <v>1646</v>
      </c>
      <c r="F283" s="149"/>
      <c r="G283" s="150"/>
      <c r="H283" s="150"/>
      <c r="I283" s="149" t="s">
        <v>1647</v>
      </c>
      <c r="J283" s="149"/>
      <c r="K283" s="5"/>
      <c r="L283" s="5"/>
      <c r="M283" t="str">
        <f t="shared" ref="M283:M285" si="90">""""&amp;$C283&amp;""": "&amp;$E283&amp;IF(F283&lt;&gt;""," / "&amp;F283,"")</f>
        <v>"–": Substract</v>
      </c>
      <c r="N283" t="str">
        <f t="shared" ref="N283:N284" si="91">""""&amp;$C283&amp;""": "&amp;$I283&amp;IF(J283&lt;&gt;""," / "&amp;J283,"")</f>
        <v>"–": Subtrahieren</v>
      </c>
      <c r="O283" s="143" t="str">
        <f t="shared" ref="O283:O346" ca="1" si="92">IF(C283&lt;&gt;"","'"&amp;C283&amp;"'"&amp;IF(OFFSET(O283,1,0)&lt;&gt;"",","&amp;OFFSET(O283,1,0),""),"")</f>
        <v>'–','0','_NA_'</v>
      </c>
    </row>
    <row r="284" spans="1:15">
      <c r="A284" s="140"/>
      <c r="B284" s="148">
        <v>3</v>
      </c>
      <c r="C284" s="149">
        <v>0</v>
      </c>
      <c r="D284" s="148"/>
      <c r="E284" s="149" t="s">
        <v>1648</v>
      </c>
      <c r="F284" s="149"/>
      <c r="G284" s="150"/>
      <c r="H284" s="150"/>
      <c r="I284" s="149" t="s">
        <v>1649</v>
      </c>
      <c r="J284" s="149"/>
      <c r="K284" s="5"/>
      <c r="L284" s="5"/>
      <c r="M284" t="str">
        <f t="shared" si="90"/>
        <v>"0": Do not consider</v>
      </c>
      <c r="N284" t="str">
        <f t="shared" si="91"/>
        <v>"0": Nicht berücksichtigen</v>
      </c>
      <c r="O284" s="143" t="str">
        <f t="shared" ca="1" si="92"/>
        <v>'0','_NA_'</v>
      </c>
    </row>
    <row r="285" spans="1:15">
      <c r="A285" s="140"/>
      <c r="B285" s="148">
        <v>4</v>
      </c>
      <c r="C285" s="150" t="s">
        <v>41</v>
      </c>
      <c r="D285" s="148"/>
      <c r="E285" s="150" t="s">
        <v>1640</v>
      </c>
      <c r="F285" s="150"/>
      <c r="G285" s="150"/>
      <c r="H285" s="150"/>
      <c r="I285" s="150" t="s">
        <v>1641</v>
      </c>
      <c r="J285" s="150" t="s">
        <v>1054</v>
      </c>
      <c r="K285" s="5"/>
      <c r="L285" s="5"/>
      <c r="M285" t="str">
        <f t="shared" si="90"/>
        <v>"_NA_": Not defined</v>
      </c>
      <c r="N285" t="str">
        <f>""""&amp;$C285&amp;""": "&amp;$I285&amp;IF(J285&lt;&gt;""," / "&amp;J285,"")</f>
        <v>"_NA_": nicht definiert / keine Angaben</v>
      </c>
      <c r="O285" s="143" t="str">
        <f t="shared" ca="1" si="92"/>
        <v>'_NA_'</v>
      </c>
    </row>
    <row r="286" spans="1:15" ht="19.5" customHeight="1">
      <c r="A286" s="133" t="s">
        <v>1650</v>
      </c>
      <c r="B286" s="134"/>
      <c r="C286" s="135"/>
      <c r="D286" s="136">
        <v>15</v>
      </c>
      <c r="E286" s="137"/>
      <c r="F286" s="137"/>
      <c r="G286" s="137"/>
      <c r="H286" s="137"/>
      <c r="I286" s="137"/>
      <c r="J286" s="137"/>
      <c r="K286" s="137"/>
      <c r="L286" s="137"/>
      <c r="M286" s="138"/>
      <c r="N286" s="138"/>
      <c r="O286" s="143" t="str">
        <f t="shared" ca="1" si="92"/>
        <v/>
      </c>
    </row>
    <row r="287" spans="1:15">
      <c r="A287" s="140"/>
      <c r="B287" s="141">
        <v>1</v>
      </c>
      <c r="C287" s="5" t="s">
        <v>1651</v>
      </c>
      <c r="D287" s="141"/>
      <c r="E287" s="5"/>
      <c r="F287" s="144"/>
      <c r="G287" s="5"/>
      <c r="H287" s="5"/>
      <c r="I287" s="5" t="s">
        <v>1651</v>
      </c>
      <c r="J287" s="5" t="s">
        <v>1652</v>
      </c>
      <c r="K287" s="5"/>
      <c r="L287" s="5"/>
      <c r="O287" s="143" t="str">
        <f t="shared" ca="1" si="92"/>
        <v>'DIN V 4108-6 / 4701-10','DIN V 18599','TABULA_Standard','TABULA_Standard_ClimReg','_NA_'</v>
      </c>
    </row>
    <row r="288" spans="1:15">
      <c r="A288" s="140"/>
      <c r="B288" s="141">
        <v>2</v>
      </c>
      <c r="C288" s="5" t="s">
        <v>1653</v>
      </c>
      <c r="D288" s="141"/>
      <c r="E288" s="5"/>
      <c r="F288" s="144"/>
      <c r="G288" s="5"/>
      <c r="H288" s="5"/>
      <c r="I288" s="5" t="s">
        <v>1653</v>
      </c>
      <c r="J288" s="5" t="s">
        <v>1652</v>
      </c>
      <c r="K288" s="5"/>
      <c r="L288" s="5"/>
      <c r="O288" s="143" t="str">
        <f t="shared" ca="1" si="92"/>
        <v>'DIN V 18599','TABULA_Standard','TABULA_Standard_ClimReg','_NA_'</v>
      </c>
    </row>
    <row r="289" spans="1:15" ht="30.6">
      <c r="A289" s="140"/>
      <c r="B289" s="141">
        <v>3</v>
      </c>
      <c r="C289" s="5" t="s">
        <v>1654</v>
      </c>
      <c r="D289" s="141"/>
      <c r="E289" s="5" t="s">
        <v>1655</v>
      </c>
      <c r="F289" s="5" t="s">
        <v>1656</v>
      </c>
      <c r="G289" s="5"/>
      <c r="H289" s="5"/>
      <c r="I289" s="5" t="s">
        <v>1657</v>
      </c>
      <c r="J289" s="5" t="s">
        <v>1658</v>
      </c>
      <c r="K289" s="5"/>
      <c r="L289" s="5"/>
      <c r="O289" s="143" t="str">
        <f t="shared" ca="1" si="92"/>
        <v>'TABULA_Standard','TABULA_Standard_ClimReg','_NA_'</v>
      </c>
    </row>
    <row r="290" spans="1:15" ht="30.6">
      <c r="A290" s="140"/>
      <c r="B290" s="141">
        <v>4</v>
      </c>
      <c r="C290" s="5" t="s">
        <v>1659</v>
      </c>
      <c r="D290" s="141"/>
      <c r="E290" s="5" t="s">
        <v>1660</v>
      </c>
      <c r="F290" s="5" t="s">
        <v>1661</v>
      </c>
      <c r="G290" s="5"/>
      <c r="H290" s="5"/>
      <c r="I290" s="5" t="s">
        <v>1662</v>
      </c>
      <c r="J290" s="5" t="s">
        <v>1663</v>
      </c>
      <c r="K290" s="5"/>
      <c r="L290" s="5"/>
      <c r="O290" s="143" t="str">
        <f t="shared" ca="1" si="92"/>
        <v>'TABULA_Standard_ClimReg','_NA_'</v>
      </c>
    </row>
    <row r="291" spans="1:15">
      <c r="A291" s="140"/>
      <c r="B291" s="141">
        <v>5</v>
      </c>
      <c r="C291" s="5" t="s">
        <v>41</v>
      </c>
      <c r="D291" s="141"/>
      <c r="E291" s="5" t="s">
        <v>1051</v>
      </c>
      <c r="F291" s="5" t="s">
        <v>1052</v>
      </c>
      <c r="G291" s="5"/>
      <c r="H291" s="5"/>
      <c r="I291" s="5" t="s">
        <v>1053</v>
      </c>
      <c r="J291" s="5" t="s">
        <v>1054</v>
      </c>
      <c r="K291" s="5"/>
      <c r="L291" s="5"/>
      <c r="O291" s="143" t="str">
        <f t="shared" ca="1" si="92"/>
        <v>'_NA_'</v>
      </c>
    </row>
    <row r="292" spans="1:15">
      <c r="A292" s="140"/>
      <c r="B292" s="141">
        <v>6</v>
      </c>
      <c r="C292" s="5"/>
      <c r="D292" s="141"/>
      <c r="E292" s="5"/>
      <c r="F292" s="144"/>
      <c r="G292" s="5"/>
      <c r="H292" s="5"/>
      <c r="I292" s="5"/>
      <c r="J292" s="5"/>
      <c r="K292" s="5"/>
      <c r="L292" s="5"/>
      <c r="O292" s="143" t="str">
        <f t="shared" ca="1" si="92"/>
        <v/>
      </c>
    </row>
    <row r="293" spans="1:15">
      <c r="A293" s="140"/>
      <c r="B293" s="141">
        <v>7</v>
      </c>
      <c r="C293" s="5"/>
      <c r="D293" s="141"/>
      <c r="E293" s="5"/>
      <c r="F293" s="144"/>
      <c r="G293" s="5"/>
      <c r="H293" s="5"/>
      <c r="I293" s="5"/>
      <c r="J293" s="5"/>
      <c r="K293" s="5"/>
      <c r="L293" s="5"/>
      <c r="O293" s="143" t="str">
        <f t="shared" ca="1" si="92"/>
        <v/>
      </c>
    </row>
    <row r="294" spans="1:15">
      <c r="A294" s="140"/>
      <c r="B294" s="141">
        <v>8</v>
      </c>
      <c r="C294" s="5"/>
      <c r="D294" s="141"/>
      <c r="E294" s="5"/>
      <c r="F294" s="144"/>
      <c r="G294" s="5"/>
      <c r="H294" s="5"/>
      <c r="I294" s="5"/>
      <c r="J294" s="5"/>
      <c r="K294" s="5"/>
      <c r="L294" s="5"/>
      <c r="O294" s="143" t="str">
        <f t="shared" ca="1" si="92"/>
        <v/>
      </c>
    </row>
    <row r="295" spans="1:15">
      <c r="A295" s="140"/>
      <c r="B295" s="141">
        <v>9</v>
      </c>
      <c r="C295" s="5"/>
      <c r="D295" s="141"/>
      <c r="E295" s="5"/>
      <c r="F295" s="144"/>
      <c r="G295" s="5"/>
      <c r="H295" s="5"/>
      <c r="I295" s="5"/>
      <c r="J295" s="5"/>
      <c r="K295" s="5"/>
      <c r="L295" s="5"/>
      <c r="O295" s="143" t="str">
        <f t="shared" ca="1" si="92"/>
        <v/>
      </c>
    </row>
    <row r="296" spans="1:15">
      <c r="A296" s="140"/>
      <c r="B296" s="141">
        <v>10</v>
      </c>
      <c r="C296" s="5"/>
      <c r="D296" s="141"/>
      <c r="E296" s="5"/>
      <c r="F296" s="144"/>
      <c r="G296" s="5"/>
      <c r="H296" s="5"/>
      <c r="I296" s="5"/>
      <c r="J296" s="5"/>
      <c r="K296" s="5"/>
      <c r="L296" s="5"/>
      <c r="O296" s="143" t="str">
        <f t="shared" ca="1" si="92"/>
        <v/>
      </c>
    </row>
    <row r="297" spans="1:15">
      <c r="A297" s="140"/>
      <c r="B297" s="141">
        <v>11</v>
      </c>
      <c r="C297" s="5"/>
      <c r="D297" s="141"/>
      <c r="E297" s="5"/>
      <c r="F297" s="144"/>
      <c r="G297" s="5"/>
      <c r="H297" s="5"/>
      <c r="I297" s="5"/>
      <c r="J297" s="5"/>
      <c r="K297" s="5"/>
      <c r="L297" s="5"/>
      <c r="O297" s="143" t="str">
        <f t="shared" ca="1" si="92"/>
        <v/>
      </c>
    </row>
    <row r="298" spans="1:15">
      <c r="A298" s="140"/>
      <c r="B298" s="141">
        <v>12</v>
      </c>
      <c r="C298" s="5"/>
      <c r="D298" s="141"/>
      <c r="E298" s="5"/>
      <c r="F298" s="144"/>
      <c r="G298" s="5"/>
      <c r="H298" s="5"/>
      <c r="I298" s="5"/>
      <c r="J298" s="5"/>
      <c r="K298" s="5"/>
      <c r="L298" s="5"/>
      <c r="O298" s="143" t="str">
        <f t="shared" ca="1" si="92"/>
        <v/>
      </c>
    </row>
    <row r="299" spans="1:15">
      <c r="A299" s="140"/>
      <c r="B299" s="141">
        <v>13</v>
      </c>
      <c r="C299" s="5"/>
      <c r="D299" s="141"/>
      <c r="E299" s="5"/>
      <c r="F299" s="144"/>
      <c r="G299" s="5"/>
      <c r="H299" s="5"/>
      <c r="I299" s="5"/>
      <c r="J299" s="5"/>
      <c r="K299" s="5"/>
      <c r="L299" s="5"/>
      <c r="O299" s="143" t="str">
        <f t="shared" ca="1" si="92"/>
        <v/>
      </c>
    </row>
    <row r="300" spans="1:15">
      <c r="A300" s="140"/>
      <c r="B300" s="141">
        <v>14</v>
      </c>
      <c r="C300" s="5"/>
      <c r="D300" s="141"/>
      <c r="E300" s="5"/>
      <c r="F300" s="144"/>
      <c r="G300" s="5"/>
      <c r="H300" s="5"/>
      <c r="I300" s="5"/>
      <c r="J300" s="5"/>
      <c r="K300" s="5"/>
      <c r="L300" s="5"/>
      <c r="O300" s="143" t="str">
        <f t="shared" ca="1" si="92"/>
        <v/>
      </c>
    </row>
    <row r="301" spans="1:15">
      <c r="A301" s="140"/>
      <c r="B301" s="141">
        <v>15</v>
      </c>
      <c r="C301" s="5"/>
      <c r="D301" s="141"/>
      <c r="E301" s="5"/>
      <c r="F301" s="144"/>
      <c r="G301" s="5"/>
      <c r="H301" s="5"/>
      <c r="I301" s="5"/>
      <c r="J301" s="5"/>
      <c r="K301" s="5"/>
      <c r="L301" s="5"/>
      <c r="O301" s="143" t="str">
        <f t="shared" ca="1" si="92"/>
        <v/>
      </c>
    </row>
    <row r="302" spans="1:15" ht="19.5" customHeight="1">
      <c r="A302" s="133" t="s">
        <v>1664</v>
      </c>
      <c r="B302" s="134"/>
      <c r="C302" s="135"/>
      <c r="D302" s="136">
        <v>4</v>
      </c>
      <c r="E302" s="137" t="s">
        <v>1665</v>
      </c>
      <c r="F302" s="137"/>
      <c r="G302" s="137"/>
      <c r="H302" s="137"/>
      <c r="I302" s="137" t="s">
        <v>1666</v>
      </c>
      <c r="J302" s="137"/>
      <c r="K302" s="137"/>
      <c r="L302" s="137"/>
      <c r="M302" s="138"/>
      <c r="N302" s="138"/>
      <c r="O302" s="143" t="str">
        <f t="shared" ca="1" si="92"/>
        <v/>
      </c>
    </row>
    <row r="303" spans="1:15" ht="30.6">
      <c r="A303" s="140"/>
      <c r="B303" s="141">
        <v>1</v>
      </c>
      <c r="C303" s="5" t="s">
        <v>1667</v>
      </c>
      <c r="D303" s="141"/>
      <c r="E303" s="5" t="s">
        <v>1668</v>
      </c>
      <c r="F303" s="144"/>
      <c r="G303" s="5"/>
      <c r="H303" s="5"/>
      <c r="I303" s="5" t="s">
        <v>1669</v>
      </c>
      <c r="J303" s="5"/>
      <c r="K303" s="5"/>
      <c r="L303" s="5"/>
      <c r="O303" s="143" t="str">
        <f t="shared" ca="1" si="92"/>
        <v>'External','Internal','Center','External_Estimate','Internal_Estimate','Center_Estimate','_NA_'</v>
      </c>
    </row>
    <row r="304" spans="1:15" ht="30.6">
      <c r="A304" s="140"/>
      <c r="B304" s="141">
        <v>2</v>
      </c>
      <c r="C304" s="5" t="s">
        <v>1670</v>
      </c>
      <c r="D304" s="141"/>
      <c r="E304" s="5" t="s">
        <v>1671</v>
      </c>
      <c r="F304" s="144"/>
      <c r="G304" s="5"/>
      <c r="H304" s="5"/>
      <c r="I304" s="5" t="s">
        <v>1672</v>
      </c>
      <c r="J304" s="5"/>
      <c r="K304" s="5"/>
      <c r="L304" s="5"/>
      <c r="O304" s="143" t="str">
        <f t="shared" ca="1" si="92"/>
        <v>'Internal','Center','External_Estimate','Internal_Estimate','Center_Estimate','_NA_'</v>
      </c>
    </row>
    <row r="305" spans="1:15" ht="30.6">
      <c r="A305" s="140"/>
      <c r="B305" s="141">
        <v>3</v>
      </c>
      <c r="C305" s="5" t="s">
        <v>1673</v>
      </c>
      <c r="D305" s="141"/>
      <c r="E305" s="5" t="s">
        <v>1674</v>
      </c>
      <c r="F305" s="144"/>
      <c r="G305" s="5"/>
      <c r="H305" s="5"/>
      <c r="I305" s="5" t="s">
        <v>1675</v>
      </c>
      <c r="J305" s="5"/>
      <c r="K305" s="5"/>
      <c r="L305" s="5"/>
      <c r="O305" s="143" t="str">
        <f t="shared" ca="1" si="92"/>
        <v>'Center','External_Estimate','Internal_Estimate','Center_Estimate','_NA_'</v>
      </c>
    </row>
    <row r="306" spans="1:15" ht="20.399999999999999">
      <c r="A306" s="140"/>
      <c r="B306" s="141">
        <v>4</v>
      </c>
      <c r="C306" s="5" t="s">
        <v>1676</v>
      </c>
      <c r="D306" s="141"/>
      <c r="E306" s="5" t="s">
        <v>1677</v>
      </c>
      <c r="F306" s="144"/>
      <c r="G306" s="5"/>
      <c r="H306" s="5"/>
      <c r="I306" s="5" t="s">
        <v>1678</v>
      </c>
      <c r="J306" s="5"/>
      <c r="K306" s="5"/>
      <c r="L306" s="5"/>
      <c r="O306" s="143" t="str">
        <f t="shared" ca="1" si="92"/>
        <v>'External_Estimate','Internal_Estimate','Center_Estimate','_NA_'</v>
      </c>
    </row>
    <row r="307" spans="1:15" ht="20.399999999999999">
      <c r="A307" s="140"/>
      <c r="B307" s="141">
        <v>5</v>
      </c>
      <c r="C307" s="5" t="s">
        <v>1679</v>
      </c>
      <c r="D307" s="141"/>
      <c r="E307" s="5" t="s">
        <v>1680</v>
      </c>
      <c r="F307" s="144"/>
      <c r="G307" s="5"/>
      <c r="H307" s="5"/>
      <c r="I307" s="5" t="s">
        <v>1681</v>
      </c>
      <c r="J307" s="5"/>
      <c r="K307" s="5"/>
      <c r="L307" s="5"/>
      <c r="O307" s="143" t="str">
        <f t="shared" ca="1" si="92"/>
        <v>'Internal_Estimate','Center_Estimate','_NA_'</v>
      </c>
    </row>
    <row r="308" spans="1:15" ht="30.6">
      <c r="A308" s="140"/>
      <c r="B308" s="141">
        <v>6</v>
      </c>
      <c r="C308" s="5" t="s">
        <v>1682</v>
      </c>
      <c r="D308" s="141"/>
      <c r="E308" s="5" t="s">
        <v>1683</v>
      </c>
      <c r="F308" s="144"/>
      <c r="G308" s="5"/>
      <c r="H308" s="5"/>
      <c r="I308" s="5" t="s">
        <v>1684</v>
      </c>
      <c r="J308" s="5"/>
      <c r="K308" s="5"/>
      <c r="L308" s="5"/>
      <c r="O308" s="143" t="str">
        <f t="shared" ca="1" si="92"/>
        <v>'Center_Estimate','_NA_'</v>
      </c>
    </row>
    <row r="309" spans="1:15">
      <c r="A309" s="140"/>
      <c r="B309" s="141">
        <v>7</v>
      </c>
      <c r="C309" s="5" t="s">
        <v>41</v>
      </c>
      <c r="D309" s="141"/>
      <c r="E309" s="5" t="s">
        <v>1051</v>
      </c>
      <c r="F309" s="5" t="s">
        <v>1052</v>
      </c>
      <c r="G309" s="5"/>
      <c r="H309" s="5"/>
      <c r="I309" s="5" t="s">
        <v>1053</v>
      </c>
      <c r="J309" s="5" t="s">
        <v>1054</v>
      </c>
      <c r="K309" s="5"/>
      <c r="L309" s="5"/>
      <c r="O309" s="143" t="str">
        <f t="shared" ca="1" si="92"/>
        <v>'_NA_'</v>
      </c>
    </row>
    <row r="310" spans="1:15" ht="19.5" customHeight="1">
      <c r="A310" s="133" t="s">
        <v>1685</v>
      </c>
      <c r="B310" s="134"/>
      <c r="C310" s="135"/>
      <c r="D310" s="136">
        <v>35</v>
      </c>
      <c r="E310" s="137" t="s">
        <v>1686</v>
      </c>
      <c r="F310" s="137"/>
      <c r="G310" s="137"/>
      <c r="H310" s="137"/>
      <c r="I310" s="137" t="s">
        <v>1687</v>
      </c>
      <c r="J310" s="137"/>
      <c r="K310" s="137"/>
      <c r="L310" s="137"/>
      <c r="M310" s="138"/>
      <c r="N310" s="138"/>
      <c r="O310" s="143" t="str">
        <f t="shared" ca="1" si="92"/>
        <v/>
      </c>
    </row>
    <row r="311" spans="1:15">
      <c r="A311" s="140"/>
      <c r="B311" s="141">
        <v>1</v>
      </c>
      <c r="C311" s="5" t="s">
        <v>64</v>
      </c>
      <c r="D311" s="141"/>
      <c r="E311" s="5" t="s">
        <v>1688</v>
      </c>
      <c r="F311" s="144" t="s">
        <v>1689</v>
      </c>
      <c r="G311" s="5"/>
      <c r="H311" s="5"/>
      <c r="I311" s="5" t="s">
        <v>1690</v>
      </c>
      <c r="J311" s="5"/>
      <c r="K311" s="5"/>
      <c r="L311" s="5"/>
      <c r="O311" s="143" t="str">
        <f t="shared" ca="1" si="92"/>
        <v>'B','B_NC','B_NC_CT','B_NC_LT','B_C','B_WP','G_IWH','G_IWH_NC','G_IWH_C','G_SH','G_Tank','E','E_Immersion','E_Storage','E_UnderFloor','E_SH','HP','HP_Air','HP_Cellar','HP_Ground','HP_ExhAir','HP_Water','HP_Other','Vent_Rec','Stove','Stove_L','Stove_S','OpenFire','TS','CHP','Solar','Steam','Other','-','_NA_'</v>
      </c>
    </row>
    <row r="312" spans="1:15" ht="20.399999999999999">
      <c r="A312" s="140"/>
      <c r="B312" s="141">
        <v>2</v>
      </c>
      <c r="C312" s="5" t="s">
        <v>1691</v>
      </c>
      <c r="D312" s="141"/>
      <c r="E312" s="5" t="s">
        <v>1692</v>
      </c>
      <c r="F312" s="144" t="s">
        <v>1693</v>
      </c>
      <c r="G312" s="5"/>
      <c r="H312" s="5"/>
      <c r="I312" s="5" t="s">
        <v>1694</v>
      </c>
      <c r="J312" s="5"/>
      <c r="K312" s="5"/>
      <c r="L312" s="5"/>
      <c r="O312" s="143" t="str">
        <f t="shared" ca="1" si="92"/>
        <v>'B_NC','B_NC_CT','B_NC_LT','B_C','B_WP','G_IWH','G_IWH_NC','G_IWH_C','G_SH','G_Tank','E','E_Immersion','E_Storage','E_UnderFloor','E_SH','HP','HP_Air','HP_Cellar','HP_Ground','HP_ExhAir','HP_Water','HP_Other','Vent_Rec','Stove','Stove_L','Stove_S','OpenFire','TS','CHP','Solar','Steam','Other','-','_NA_'</v>
      </c>
    </row>
    <row r="313" spans="1:15" ht="20.399999999999999">
      <c r="A313" s="140"/>
      <c r="B313" s="141">
        <v>3</v>
      </c>
      <c r="C313" s="5" t="s">
        <v>1458</v>
      </c>
      <c r="D313" s="141"/>
      <c r="E313" s="5" t="s">
        <v>1695</v>
      </c>
      <c r="F313" s="144" t="s">
        <v>1696</v>
      </c>
      <c r="G313" s="5"/>
      <c r="H313" s="5"/>
      <c r="I313" s="5" t="s">
        <v>1460</v>
      </c>
      <c r="J313" s="5"/>
      <c r="K313" s="5"/>
      <c r="L313" s="5"/>
      <c r="O313" s="143" t="str">
        <f t="shared" ca="1" si="92"/>
        <v>'B_NC_CT','B_NC_LT','B_C','B_WP','G_IWH','G_IWH_NC','G_IWH_C','G_SH','G_Tank','E','E_Immersion','E_Storage','E_UnderFloor','E_SH','HP','HP_Air','HP_Cellar','HP_Ground','HP_ExhAir','HP_Water','HP_Other','Vent_Rec','Stove','Stove_L','Stove_S','OpenFire','TS','CHP','Solar','Steam','Other','-','_NA_'</v>
      </c>
    </row>
    <row r="314" spans="1:15" ht="20.399999999999999">
      <c r="A314" s="140"/>
      <c r="B314" s="141">
        <v>4</v>
      </c>
      <c r="C314" s="5" t="s">
        <v>1461</v>
      </c>
      <c r="D314" s="141"/>
      <c r="E314" s="5" t="s">
        <v>1697</v>
      </c>
      <c r="F314" s="144" t="s">
        <v>1698</v>
      </c>
      <c r="G314" s="5"/>
      <c r="H314" s="5"/>
      <c r="I314" s="5" t="s">
        <v>1463</v>
      </c>
      <c r="J314" s="5"/>
      <c r="K314" s="5"/>
      <c r="L314" s="5"/>
      <c r="O314" s="143" t="str">
        <f t="shared" ca="1" si="92"/>
        <v>'B_NC_LT','B_C','B_WP','G_IWH','G_IWH_NC','G_IWH_C','G_SH','G_Tank','E','E_Immersion','E_Storage','E_UnderFloor','E_SH','HP','HP_Air','HP_Cellar','HP_Ground','HP_ExhAir','HP_Water','HP_Other','Vent_Rec','Stove','Stove_L','Stove_S','OpenFire','TS','CHP','Solar','Steam','Other','-','_NA_'</v>
      </c>
    </row>
    <row r="315" spans="1:15">
      <c r="A315" s="140"/>
      <c r="B315" s="141">
        <v>5</v>
      </c>
      <c r="C315" s="5" t="s">
        <v>1464</v>
      </c>
      <c r="D315" s="141"/>
      <c r="E315" s="5" t="s">
        <v>1699</v>
      </c>
      <c r="F315" s="144" t="s">
        <v>1700</v>
      </c>
      <c r="G315" s="5"/>
      <c r="H315" s="5"/>
      <c r="I315" s="5" t="s">
        <v>1466</v>
      </c>
      <c r="J315" s="5"/>
      <c r="K315" s="5"/>
      <c r="L315" s="5"/>
      <c r="O315" s="143" t="str">
        <f t="shared" ca="1" si="92"/>
        <v>'B_C','B_WP','G_IWH','G_IWH_NC','G_IWH_C','G_SH','G_Tank','E','E_Immersion','E_Storage','E_UnderFloor','E_SH','HP','HP_Air','HP_Cellar','HP_Ground','HP_ExhAir','HP_Water','HP_Other','Vent_Rec','Stove','Stove_L','Stove_S','OpenFire','TS','CHP','Solar','Steam','Other','-','_NA_'</v>
      </c>
    </row>
    <row r="316" spans="1:15">
      <c r="A316" s="140"/>
      <c r="B316" s="141">
        <v>6</v>
      </c>
      <c r="C316" s="5" t="s">
        <v>1701</v>
      </c>
      <c r="D316" s="141"/>
      <c r="E316" s="5" t="s">
        <v>1702</v>
      </c>
      <c r="F316" s="144" t="s">
        <v>1703</v>
      </c>
      <c r="G316" s="5"/>
      <c r="H316" s="5"/>
      <c r="I316" s="5" t="s">
        <v>1460</v>
      </c>
      <c r="J316" s="5"/>
      <c r="K316" s="5"/>
      <c r="L316" s="5"/>
      <c r="O316" s="143" t="str">
        <f t="shared" ca="1" si="92"/>
        <v>'B_WP','G_IWH','G_IWH_NC','G_IWH_C','G_SH','G_Tank','E','E_Immersion','E_Storage','E_UnderFloor','E_SH','HP','HP_Air','HP_Cellar','HP_Ground','HP_ExhAir','HP_Water','HP_Other','Vent_Rec','Stove','Stove_L','Stove_S','OpenFire','TS','CHP','Solar','Steam','Other','-','_NA_'</v>
      </c>
    </row>
    <row r="317" spans="1:15" ht="20.399999999999999">
      <c r="A317" s="140"/>
      <c r="B317" s="141">
        <v>7</v>
      </c>
      <c r="C317" s="5" t="s">
        <v>1704</v>
      </c>
      <c r="D317" s="141"/>
      <c r="E317" s="5" t="s">
        <v>1705</v>
      </c>
      <c r="F317" s="144" t="s">
        <v>1706</v>
      </c>
      <c r="G317" s="5"/>
      <c r="H317" s="5"/>
      <c r="I317" s="5" t="s">
        <v>1707</v>
      </c>
      <c r="J317" s="5"/>
      <c r="K317" s="5"/>
      <c r="L317" s="5"/>
      <c r="O317" s="143" t="str">
        <f t="shared" ca="1" si="92"/>
        <v>'G_IWH','G_IWH_NC','G_IWH_C','G_SH','G_Tank','E','E_Immersion','E_Storage','E_UnderFloor','E_SH','HP','HP_Air','HP_Cellar','HP_Ground','HP_ExhAir','HP_Water','HP_Other','Vent_Rec','Stove','Stove_L','Stove_S','OpenFire','TS','CHP','Solar','Steam','Other','-','_NA_'</v>
      </c>
    </row>
    <row r="318" spans="1:15" ht="20.399999999999999">
      <c r="A318" s="140"/>
      <c r="B318" s="141">
        <v>8</v>
      </c>
      <c r="C318" s="5" t="s">
        <v>1708</v>
      </c>
      <c r="D318" s="141"/>
      <c r="E318" s="5" t="s">
        <v>1709</v>
      </c>
      <c r="F318" s="144" t="s">
        <v>1706</v>
      </c>
      <c r="G318" s="5"/>
      <c r="H318" s="5"/>
      <c r="I318" s="5" t="s">
        <v>1710</v>
      </c>
      <c r="J318" s="5"/>
      <c r="K318" s="5"/>
      <c r="L318" s="5"/>
      <c r="O318" s="143" t="str">
        <f t="shared" ca="1" si="92"/>
        <v>'G_IWH_NC','G_IWH_C','G_SH','G_Tank','E','E_Immersion','E_Storage','E_UnderFloor','E_SH','HP','HP_Air','HP_Cellar','HP_Ground','HP_ExhAir','HP_Water','HP_Other','Vent_Rec','Stove','Stove_L','Stove_S','OpenFire','TS','CHP','Solar','Steam','Other','-','_NA_'</v>
      </c>
    </row>
    <row r="319" spans="1:15" ht="20.399999999999999">
      <c r="A319" s="140"/>
      <c r="B319" s="141">
        <v>9</v>
      </c>
      <c r="C319" s="5" t="s">
        <v>1711</v>
      </c>
      <c r="D319" s="141"/>
      <c r="E319" s="5" t="s">
        <v>1712</v>
      </c>
      <c r="F319" s="144" t="s">
        <v>1713</v>
      </c>
      <c r="G319" s="5"/>
      <c r="H319" s="5"/>
      <c r="I319" s="5" t="s">
        <v>1714</v>
      </c>
      <c r="J319" s="5"/>
      <c r="K319" s="5"/>
      <c r="L319" s="5"/>
      <c r="O319" s="143" t="str">
        <f t="shared" ca="1" si="92"/>
        <v>'G_IWH_C','G_SH','G_Tank','E','E_Immersion','E_Storage','E_UnderFloor','E_SH','HP','HP_Air','HP_Cellar','HP_Ground','HP_ExhAir','HP_Water','HP_Other','Vent_Rec','Stove','Stove_L','Stove_S','OpenFire','TS','CHP','Solar','Steam','Other','-','_NA_'</v>
      </c>
    </row>
    <row r="320" spans="1:15">
      <c r="A320" s="140"/>
      <c r="B320" s="141">
        <v>10</v>
      </c>
      <c r="C320" s="5" t="s">
        <v>1715</v>
      </c>
      <c r="D320" s="141"/>
      <c r="E320" s="5" t="s">
        <v>1716</v>
      </c>
      <c r="F320" s="144" t="s">
        <v>1716</v>
      </c>
      <c r="G320" s="5"/>
      <c r="H320" s="5"/>
      <c r="I320" s="5" t="s">
        <v>1717</v>
      </c>
      <c r="J320" s="5"/>
      <c r="K320" s="5"/>
      <c r="L320" s="5"/>
      <c r="O320" s="143" t="str">
        <f t="shared" ca="1" si="92"/>
        <v>'G_SH','G_Tank','E','E_Immersion','E_Storage','E_UnderFloor','E_SH','HP','HP_Air','HP_Cellar','HP_Ground','HP_ExhAir','HP_Water','HP_Other','Vent_Rec','Stove','Stove_L','Stove_S','OpenFire','TS','CHP','Solar','Steam','Other','-','_NA_'</v>
      </c>
    </row>
    <row r="321" spans="1:15" ht="30.6">
      <c r="A321" s="140"/>
      <c r="B321" s="141">
        <v>11</v>
      </c>
      <c r="C321" s="5" t="s">
        <v>1718</v>
      </c>
      <c r="D321" s="141"/>
      <c r="E321" s="5" t="s">
        <v>1719</v>
      </c>
      <c r="F321" s="144" t="s">
        <v>1720</v>
      </c>
      <c r="G321" s="5"/>
      <c r="H321" s="5"/>
      <c r="I321" s="5" t="s">
        <v>1721</v>
      </c>
      <c r="J321" s="5"/>
      <c r="K321" s="5"/>
      <c r="L321" s="5"/>
      <c r="O321" s="143" t="str">
        <f t="shared" ca="1" si="92"/>
        <v>'G_Tank','E','E_Immersion','E_Storage','E_UnderFloor','E_SH','HP','HP_Air','HP_Cellar','HP_Ground','HP_ExhAir','HP_Water','HP_Other','Vent_Rec','Stove','Stove_L','Stove_S','OpenFire','TS','CHP','Solar','Steam','Other','-','_NA_'</v>
      </c>
    </row>
    <row r="322" spans="1:15" ht="51">
      <c r="A322" s="140"/>
      <c r="B322" s="141">
        <v>12</v>
      </c>
      <c r="C322" s="5" t="s">
        <v>1722</v>
      </c>
      <c r="D322" s="141"/>
      <c r="E322" s="5" t="s">
        <v>1723</v>
      </c>
      <c r="F322" s="144" t="s">
        <v>1724</v>
      </c>
      <c r="G322" s="5"/>
      <c r="H322" s="5"/>
      <c r="I322" s="5" t="s">
        <v>1725</v>
      </c>
      <c r="J322" s="5"/>
      <c r="K322" s="5"/>
      <c r="L322" s="5"/>
      <c r="O322" s="143" t="str">
        <f t="shared" ca="1" si="92"/>
        <v>'E','E_Immersion','E_Storage','E_UnderFloor','E_SH','HP','HP_Air','HP_Cellar','HP_Ground','HP_ExhAir','HP_Water','HP_Other','Vent_Rec','Stove','Stove_L','Stove_S','OpenFire','TS','CHP','Solar','Steam','Other','-','_NA_'</v>
      </c>
    </row>
    <row r="323" spans="1:15" ht="20.399999999999999">
      <c r="A323" s="140"/>
      <c r="B323" s="141">
        <v>13</v>
      </c>
      <c r="C323" s="5" t="s">
        <v>1726</v>
      </c>
      <c r="D323" s="141"/>
      <c r="E323" s="5" t="s">
        <v>1727</v>
      </c>
      <c r="F323" s="144" t="s">
        <v>1728</v>
      </c>
      <c r="G323" s="5"/>
      <c r="H323" s="5"/>
      <c r="I323" s="5" t="s">
        <v>1729</v>
      </c>
      <c r="J323" s="5"/>
      <c r="K323" s="5"/>
      <c r="L323" s="5"/>
      <c r="O323" s="143" t="str">
        <f t="shared" ca="1" si="92"/>
        <v>'E_Immersion','E_Storage','E_UnderFloor','E_SH','HP','HP_Air','HP_Cellar','HP_Ground','HP_ExhAir','HP_Water','HP_Other','Vent_Rec','Stove','Stove_L','Stove_S','OpenFire','TS','CHP','Solar','Steam','Other','-','_NA_'</v>
      </c>
    </row>
    <row r="324" spans="1:15" ht="30.6">
      <c r="A324" s="140"/>
      <c r="B324" s="141">
        <v>14</v>
      </c>
      <c r="C324" s="5" t="s">
        <v>1730</v>
      </c>
      <c r="D324" s="141"/>
      <c r="E324" s="5" t="s">
        <v>1731</v>
      </c>
      <c r="F324" s="144" t="s">
        <v>1732</v>
      </c>
      <c r="G324" s="5"/>
      <c r="H324" s="5"/>
      <c r="I324" s="5" t="s">
        <v>1733</v>
      </c>
      <c r="J324" s="5"/>
      <c r="K324" s="5"/>
      <c r="L324" s="5"/>
      <c r="O324" s="143" t="str">
        <f t="shared" ca="1" si="92"/>
        <v>'E_Storage','E_UnderFloor','E_SH','HP','HP_Air','HP_Cellar','HP_Ground','HP_ExhAir','HP_Water','HP_Other','Vent_Rec','Stove','Stove_L','Stove_S','OpenFire','TS','CHP','Solar','Steam','Other','-','_NA_'</v>
      </c>
    </row>
    <row r="325" spans="1:15">
      <c r="A325" s="140"/>
      <c r="B325" s="141">
        <v>15</v>
      </c>
      <c r="C325" s="5" t="s">
        <v>1734</v>
      </c>
      <c r="D325" s="141"/>
      <c r="E325" s="5" t="s">
        <v>1735</v>
      </c>
      <c r="F325" s="144" t="s">
        <v>1735</v>
      </c>
      <c r="G325" s="5"/>
      <c r="H325" s="5"/>
      <c r="I325" s="5" t="s">
        <v>1736</v>
      </c>
      <c r="J325" s="5"/>
      <c r="K325" s="5"/>
      <c r="L325" s="5"/>
      <c r="O325" s="143" t="str">
        <f t="shared" ca="1" si="92"/>
        <v>'E_UnderFloor','E_SH','HP','HP_Air','HP_Cellar','HP_Ground','HP_ExhAir','HP_Water','HP_Other','Vent_Rec','Stove','Stove_L','Stove_S','OpenFire','TS','CHP','Solar','Steam','Other','-','_NA_'</v>
      </c>
    </row>
    <row r="326" spans="1:15" ht="20.399999999999999">
      <c r="A326" s="140"/>
      <c r="B326" s="141">
        <v>16</v>
      </c>
      <c r="C326" s="5" t="s">
        <v>1737</v>
      </c>
      <c r="D326" s="141"/>
      <c r="E326" s="5" t="s">
        <v>1738</v>
      </c>
      <c r="F326" s="144" t="s">
        <v>1739</v>
      </c>
      <c r="G326" s="5"/>
      <c r="H326" s="5"/>
      <c r="I326" s="5" t="s">
        <v>1740</v>
      </c>
      <c r="J326" s="5"/>
      <c r="K326" s="5"/>
      <c r="L326" s="5"/>
      <c r="O326" s="143" t="str">
        <f t="shared" ca="1" si="92"/>
        <v>'E_SH','HP','HP_Air','HP_Cellar','HP_Ground','HP_ExhAir','HP_Water','HP_Other','Vent_Rec','Stove','Stove_L','Stove_S','OpenFire','TS','CHP','Solar','Steam','Other','-','_NA_'</v>
      </c>
    </row>
    <row r="327" spans="1:15" ht="51">
      <c r="A327" s="140"/>
      <c r="B327" s="141">
        <v>17</v>
      </c>
      <c r="C327" s="5" t="s">
        <v>1741</v>
      </c>
      <c r="D327" s="141"/>
      <c r="E327" s="5" t="s">
        <v>1742</v>
      </c>
      <c r="F327" s="144" t="s">
        <v>1743</v>
      </c>
      <c r="G327" s="5"/>
      <c r="H327" s="5"/>
      <c r="I327" s="5" t="s">
        <v>1744</v>
      </c>
      <c r="J327" s="5"/>
      <c r="K327" s="5"/>
      <c r="L327" s="5"/>
      <c r="O327" s="143" t="str">
        <f t="shared" ca="1" si="92"/>
        <v>'HP','HP_Air','HP_Cellar','HP_Ground','HP_ExhAir','HP_Water','HP_Other','Vent_Rec','Stove','Stove_L','Stove_S','OpenFire','TS','CHP','Solar','Steam','Other','-','_NA_'</v>
      </c>
    </row>
    <row r="328" spans="1:15" ht="30.6">
      <c r="A328" s="140"/>
      <c r="B328" s="141">
        <v>18</v>
      </c>
      <c r="C328" s="5" t="s">
        <v>1483</v>
      </c>
      <c r="D328" s="141"/>
      <c r="E328" s="5" t="s">
        <v>1745</v>
      </c>
      <c r="F328" s="144" t="s">
        <v>1746</v>
      </c>
      <c r="G328" s="5"/>
      <c r="H328" s="5"/>
      <c r="I328" s="5" t="s">
        <v>1747</v>
      </c>
      <c r="J328" s="5"/>
      <c r="K328" s="5"/>
      <c r="L328" s="5"/>
      <c r="O328" s="143" t="str">
        <f t="shared" ca="1" si="92"/>
        <v>'HP_Air','HP_Cellar','HP_Ground','HP_ExhAir','HP_Water','HP_Other','Vent_Rec','Stove','Stove_L','Stove_S','OpenFire','TS','CHP','Solar','Steam','Other','-','_NA_'</v>
      </c>
    </row>
    <row r="329" spans="1:15" ht="20.399999999999999">
      <c r="A329" s="140"/>
      <c r="B329" s="141">
        <v>19</v>
      </c>
      <c r="C329" s="5" t="s">
        <v>1491</v>
      </c>
      <c r="D329" s="141"/>
      <c r="E329" s="5" t="s">
        <v>1748</v>
      </c>
      <c r="F329" s="144" t="s">
        <v>1749</v>
      </c>
      <c r="G329" s="5"/>
      <c r="H329" s="5"/>
      <c r="I329" s="5" t="s">
        <v>1750</v>
      </c>
      <c r="J329" s="5"/>
      <c r="K329" s="5"/>
      <c r="L329" s="5"/>
      <c r="O329" s="143" t="str">
        <f t="shared" ca="1" si="92"/>
        <v>'HP_Cellar','HP_Ground','HP_ExhAir','HP_Water','HP_Other','Vent_Rec','Stove','Stove_L','Stove_S','OpenFire','TS','CHP','Solar','Steam','Other','-','_NA_'</v>
      </c>
    </row>
    <row r="330" spans="1:15" ht="30.6">
      <c r="A330" s="140"/>
      <c r="B330" s="141">
        <v>20</v>
      </c>
      <c r="C330" s="5" t="s">
        <v>1485</v>
      </c>
      <c r="D330" s="141"/>
      <c r="E330" s="5" t="s">
        <v>1751</v>
      </c>
      <c r="F330" s="144" t="s">
        <v>1752</v>
      </c>
      <c r="G330" s="5"/>
      <c r="H330" s="5"/>
      <c r="I330" s="5" t="s">
        <v>1753</v>
      </c>
      <c r="J330" s="5"/>
      <c r="K330" s="5"/>
      <c r="L330" s="5"/>
      <c r="O330" s="143" t="str">
        <f t="shared" ca="1" si="92"/>
        <v>'HP_Ground','HP_ExhAir','HP_Water','HP_Other','Vent_Rec','Stove','Stove_L','Stove_S','OpenFire','TS','CHP','Solar','Steam','Other','-','_NA_'</v>
      </c>
    </row>
    <row r="331" spans="1:15" ht="20.399999999999999">
      <c r="A331" s="140"/>
      <c r="B331" s="141">
        <v>21</v>
      </c>
      <c r="C331" s="5" t="s">
        <v>1488</v>
      </c>
      <c r="D331" s="141"/>
      <c r="E331" s="5" t="s">
        <v>1754</v>
      </c>
      <c r="F331" s="144" t="s">
        <v>1755</v>
      </c>
      <c r="G331" s="5"/>
      <c r="H331" s="5"/>
      <c r="I331" s="5" t="s">
        <v>1756</v>
      </c>
      <c r="J331" s="5"/>
      <c r="K331" s="5"/>
      <c r="L331" s="5"/>
      <c r="O331" s="143" t="str">
        <f t="shared" ca="1" si="92"/>
        <v>'HP_ExhAir','HP_Water','HP_Other','Vent_Rec','Stove','Stove_L','Stove_S','OpenFire','TS','CHP','Solar','Steam','Other','-','_NA_'</v>
      </c>
    </row>
    <row r="332" spans="1:15" ht="20.399999999999999">
      <c r="A332" s="140"/>
      <c r="B332" s="141">
        <v>22</v>
      </c>
      <c r="C332" s="5" t="s">
        <v>1757</v>
      </c>
      <c r="D332" s="141"/>
      <c r="E332" s="5" t="s">
        <v>1758</v>
      </c>
      <c r="F332" s="144" t="s">
        <v>1759</v>
      </c>
      <c r="G332" s="5"/>
      <c r="H332" s="5"/>
      <c r="I332" s="5" t="s">
        <v>1760</v>
      </c>
      <c r="J332" s="5"/>
      <c r="K332" s="5"/>
      <c r="L332" s="5"/>
      <c r="O332" s="143" t="str">
        <f t="shared" ca="1" si="92"/>
        <v>'HP_Water','HP_Other','Vent_Rec','Stove','Stove_L','Stove_S','OpenFire','TS','CHP','Solar','Steam','Other','-','_NA_'</v>
      </c>
    </row>
    <row r="333" spans="1:15" ht="40.799999999999997">
      <c r="A333" s="140"/>
      <c r="B333" s="141">
        <v>23</v>
      </c>
      <c r="C333" s="5" t="s">
        <v>1761</v>
      </c>
      <c r="D333" s="141"/>
      <c r="E333" s="5" t="s">
        <v>1762</v>
      </c>
      <c r="F333" s="144" t="s">
        <v>1763</v>
      </c>
      <c r="G333" s="5"/>
      <c r="H333" s="5"/>
      <c r="I333" s="5" t="s">
        <v>1764</v>
      </c>
      <c r="J333" s="5"/>
      <c r="K333" s="5"/>
      <c r="L333" s="5"/>
      <c r="O333" s="143" t="str">
        <f t="shared" ca="1" si="92"/>
        <v>'HP_Other','Vent_Rec','Stove','Stove_L','Stove_S','OpenFire','TS','CHP','Solar','Steam','Other','-','_NA_'</v>
      </c>
    </row>
    <row r="334" spans="1:15" ht="20.399999999999999">
      <c r="A334" s="140"/>
      <c r="B334" s="141">
        <v>24</v>
      </c>
      <c r="C334" s="5" t="s">
        <v>1765</v>
      </c>
      <c r="D334" s="141"/>
      <c r="E334" s="5" t="s">
        <v>1766</v>
      </c>
      <c r="F334" s="144" t="s">
        <v>1767</v>
      </c>
      <c r="G334" s="5"/>
      <c r="H334" s="5"/>
      <c r="I334" s="5"/>
      <c r="J334" s="5"/>
      <c r="K334" s="5"/>
      <c r="L334" s="5"/>
      <c r="O334" s="143" t="str">
        <f t="shared" ca="1" si="92"/>
        <v>'Vent_Rec','Stove','Stove_L','Stove_S','OpenFire','TS','CHP','Solar','Steam','Other','-','_NA_'</v>
      </c>
    </row>
    <row r="335" spans="1:15">
      <c r="A335" s="140"/>
      <c r="B335" s="141">
        <v>25</v>
      </c>
      <c r="C335" s="5" t="s">
        <v>1768</v>
      </c>
      <c r="D335" s="141"/>
      <c r="E335" s="5" t="s">
        <v>1769</v>
      </c>
      <c r="F335" s="144" t="s">
        <v>1770</v>
      </c>
      <c r="G335" s="5"/>
      <c r="H335" s="5"/>
      <c r="I335" s="5" t="s">
        <v>1771</v>
      </c>
      <c r="J335" s="5"/>
      <c r="K335" s="5"/>
      <c r="L335" s="5"/>
      <c r="O335" s="143" t="str">
        <f t="shared" ca="1" si="92"/>
        <v>'Stove','Stove_L','Stove_S','OpenFire','TS','CHP','Solar','Steam','Other','-','_NA_'</v>
      </c>
    </row>
    <row r="336" spans="1:15" ht="20.399999999999999">
      <c r="A336" s="140"/>
      <c r="B336" s="141">
        <v>26</v>
      </c>
      <c r="C336" s="5" t="s">
        <v>1772</v>
      </c>
      <c r="D336" s="141"/>
      <c r="E336" s="5" t="s">
        <v>1773</v>
      </c>
      <c r="F336" s="144" t="s">
        <v>1774</v>
      </c>
      <c r="G336" s="5"/>
      <c r="H336" s="5"/>
      <c r="I336" s="5" t="s">
        <v>1775</v>
      </c>
      <c r="J336" s="5"/>
      <c r="K336" s="5"/>
      <c r="L336" s="5"/>
      <c r="O336" s="143" t="str">
        <f t="shared" ca="1" si="92"/>
        <v>'Stove_L','Stove_S','OpenFire','TS','CHP','Solar','Steam','Other','-','_NA_'</v>
      </c>
    </row>
    <row r="337" spans="1:15" ht="20.399999999999999">
      <c r="A337" s="140"/>
      <c r="B337" s="141">
        <v>27</v>
      </c>
      <c r="C337" s="5" t="s">
        <v>1776</v>
      </c>
      <c r="D337" s="141"/>
      <c r="E337" s="5" t="s">
        <v>1777</v>
      </c>
      <c r="F337" s="144" t="s">
        <v>1778</v>
      </c>
      <c r="G337" s="5"/>
      <c r="H337" s="5"/>
      <c r="I337" s="5" t="s">
        <v>1779</v>
      </c>
      <c r="J337" s="5"/>
      <c r="K337" s="5"/>
      <c r="L337" s="5"/>
      <c r="O337" s="143" t="str">
        <f t="shared" ca="1" si="92"/>
        <v>'Stove_S','OpenFire','TS','CHP','Solar','Steam','Other','-','_NA_'</v>
      </c>
    </row>
    <row r="338" spans="1:15">
      <c r="A338" s="140"/>
      <c r="B338" s="141">
        <v>28</v>
      </c>
      <c r="C338" s="5" t="s">
        <v>1780</v>
      </c>
      <c r="D338" s="141"/>
      <c r="E338" s="5" t="s">
        <v>1781</v>
      </c>
      <c r="F338" s="144" t="s">
        <v>1782</v>
      </c>
      <c r="G338" s="5"/>
      <c r="H338" s="5"/>
      <c r="I338" s="5"/>
      <c r="J338" s="5"/>
      <c r="K338" s="5"/>
      <c r="L338" s="5"/>
      <c r="O338" s="143" t="str">
        <f t="shared" ca="1" si="92"/>
        <v>'OpenFire','TS','CHP','Solar','Steam','Other','-','_NA_'</v>
      </c>
    </row>
    <row r="339" spans="1:15" ht="30.6">
      <c r="A339" s="140"/>
      <c r="B339" s="141">
        <v>29</v>
      </c>
      <c r="C339" s="5" t="s">
        <v>1783</v>
      </c>
      <c r="D339" s="141"/>
      <c r="E339" s="5" t="s">
        <v>1784</v>
      </c>
      <c r="F339" s="144" t="s">
        <v>1785</v>
      </c>
      <c r="G339" s="5"/>
      <c r="H339" s="5"/>
      <c r="I339" s="5" t="s">
        <v>1786</v>
      </c>
      <c r="J339" s="5"/>
      <c r="K339" s="5"/>
      <c r="L339" s="5"/>
      <c r="O339" s="143" t="str">
        <f t="shared" ca="1" si="92"/>
        <v>'TS','CHP','Solar','Steam','Other','-','_NA_'</v>
      </c>
    </row>
    <row r="340" spans="1:15" ht="20.399999999999999">
      <c r="A340" s="140"/>
      <c r="B340" s="141">
        <v>30</v>
      </c>
      <c r="C340" s="5" t="s">
        <v>1787</v>
      </c>
      <c r="D340" s="141"/>
      <c r="E340" s="5" t="s">
        <v>1788</v>
      </c>
      <c r="F340" s="144" t="s">
        <v>1789</v>
      </c>
      <c r="G340" s="5"/>
      <c r="H340" s="5"/>
      <c r="I340" s="5" t="s">
        <v>1790</v>
      </c>
      <c r="J340" s="5"/>
      <c r="K340" s="5"/>
      <c r="L340" s="5"/>
      <c r="O340" s="143" t="str">
        <f t="shared" ca="1" si="92"/>
        <v>'CHP','Solar','Steam','Other','-','_NA_'</v>
      </c>
    </row>
    <row r="341" spans="1:15">
      <c r="A341" s="140"/>
      <c r="B341" s="141">
        <v>31</v>
      </c>
      <c r="C341" s="5" t="s">
        <v>1791</v>
      </c>
      <c r="D341" s="141"/>
      <c r="E341" s="5" t="s">
        <v>1792</v>
      </c>
      <c r="F341" s="144" t="s">
        <v>1792</v>
      </c>
      <c r="G341" s="5"/>
      <c r="H341" s="5"/>
      <c r="I341" s="5" t="s">
        <v>1793</v>
      </c>
      <c r="J341" s="5"/>
      <c r="K341" s="5"/>
      <c r="L341" s="5"/>
      <c r="O341" s="143" t="str">
        <f t="shared" ca="1" si="92"/>
        <v>'Solar','Steam','Other','-','_NA_'</v>
      </c>
    </row>
    <row r="342" spans="1:15">
      <c r="A342" s="140"/>
      <c r="B342" s="141">
        <v>32</v>
      </c>
      <c r="C342" s="5" t="s">
        <v>1794</v>
      </c>
      <c r="D342" s="141"/>
      <c r="E342" s="5" t="s">
        <v>1795</v>
      </c>
      <c r="F342" s="144" t="s">
        <v>1796</v>
      </c>
      <c r="G342" s="5"/>
      <c r="H342" s="5"/>
      <c r="I342" s="5" t="s">
        <v>1797</v>
      </c>
      <c r="J342" s="5"/>
      <c r="K342" s="5"/>
      <c r="L342" s="5"/>
      <c r="O342" s="143" t="str">
        <f t="shared" ca="1" si="92"/>
        <v>'Steam','Other','-','_NA_'</v>
      </c>
    </row>
    <row r="343" spans="1:15">
      <c r="A343" s="140"/>
      <c r="B343" s="141">
        <v>33</v>
      </c>
      <c r="C343" s="5" t="s">
        <v>1478</v>
      </c>
      <c r="D343" s="141"/>
      <c r="E343" s="5" t="s">
        <v>1798</v>
      </c>
      <c r="F343" s="144" t="s">
        <v>1799</v>
      </c>
      <c r="G343" s="5"/>
      <c r="H343" s="5"/>
      <c r="I343" s="5" t="s">
        <v>1479</v>
      </c>
      <c r="J343" s="5"/>
      <c r="K343" s="5"/>
      <c r="L343" s="5"/>
      <c r="O343" s="143" t="str">
        <f t="shared" ca="1" si="92"/>
        <v>'Other','-','_NA_'</v>
      </c>
    </row>
    <row r="344" spans="1:15">
      <c r="A344" s="140"/>
      <c r="B344" s="141">
        <v>34</v>
      </c>
      <c r="C344" s="5" t="s">
        <v>1266</v>
      </c>
      <c r="D344" s="141"/>
      <c r="E344" s="5" t="s">
        <v>1800</v>
      </c>
      <c r="F344" s="5"/>
      <c r="G344" s="5"/>
      <c r="H344" s="5"/>
      <c r="I344" s="5" t="s">
        <v>1801</v>
      </c>
      <c r="J344" s="5"/>
      <c r="K344" s="5"/>
      <c r="L344" s="5"/>
      <c r="O344" s="143" t="str">
        <f t="shared" ca="1" si="92"/>
        <v>'-','_NA_'</v>
      </c>
    </row>
    <row r="345" spans="1:15">
      <c r="A345" s="140"/>
      <c r="B345" s="141">
        <v>35</v>
      </c>
      <c r="C345" s="5" t="s">
        <v>41</v>
      </c>
      <c r="D345" s="141"/>
      <c r="E345" s="5" t="s">
        <v>1051</v>
      </c>
      <c r="F345" s="5" t="s">
        <v>1052</v>
      </c>
      <c r="G345" s="5"/>
      <c r="H345" s="5"/>
      <c r="I345" s="5" t="s">
        <v>1053</v>
      </c>
      <c r="J345" s="5" t="s">
        <v>1054</v>
      </c>
      <c r="K345" s="5"/>
      <c r="L345" s="5"/>
      <c r="O345" s="143" t="str">
        <f t="shared" ca="1" si="92"/>
        <v>'_NA_'</v>
      </c>
    </row>
    <row r="346" spans="1:15" ht="19.5" customHeight="1">
      <c r="A346" s="133" t="s">
        <v>1802</v>
      </c>
      <c r="B346" s="134"/>
      <c r="C346" s="135"/>
      <c r="D346" s="136">
        <v>46</v>
      </c>
      <c r="E346" s="137" t="s">
        <v>1803</v>
      </c>
      <c r="F346" s="137"/>
      <c r="G346" s="137"/>
      <c r="H346" s="137"/>
      <c r="I346" s="137" t="s">
        <v>1804</v>
      </c>
      <c r="J346" s="137"/>
      <c r="K346" s="137"/>
      <c r="L346" s="137"/>
      <c r="M346" s="138"/>
      <c r="N346" s="138"/>
      <c r="O346" s="143" t="str">
        <f t="shared" ca="1" si="92"/>
        <v/>
      </c>
    </row>
    <row r="347" spans="1:15">
      <c r="A347" s="140"/>
      <c r="B347" s="141">
        <v>1</v>
      </c>
      <c r="C347" s="5" t="s">
        <v>1444</v>
      </c>
      <c r="D347" s="141"/>
      <c r="E347" s="5" t="s">
        <v>1805</v>
      </c>
      <c r="F347" s="144" t="s">
        <v>1806</v>
      </c>
      <c r="G347" s="5"/>
      <c r="H347" s="5"/>
      <c r="I347" s="5" t="s">
        <v>1448</v>
      </c>
      <c r="J347" s="5"/>
      <c r="K347" s="5"/>
      <c r="L347" s="5"/>
      <c r="O347" s="143" t="str">
        <f t="shared" ref="O347:O410" ca="1" si="93">IF(C347&lt;&gt;"","'"&amp;C347&amp;"'"&amp;IF(OFFSET(O347,1,0)&lt;&gt;"",","&amp;OFFSET(O347,1,0),""),"")</f>
        <v>'Fuel','Fuel_Fossil','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48" spans="1:15">
      <c r="A348" s="140"/>
      <c r="B348" s="141">
        <v>2</v>
      </c>
      <c r="C348" s="5" t="s">
        <v>1807</v>
      </c>
      <c r="D348" s="141"/>
      <c r="E348" s="5" t="s">
        <v>1808</v>
      </c>
      <c r="F348" s="144" t="s">
        <v>1809</v>
      </c>
      <c r="G348" s="5"/>
      <c r="H348" s="5"/>
      <c r="I348" s="5" t="s">
        <v>1810</v>
      </c>
      <c r="J348" s="5"/>
      <c r="K348" s="5"/>
      <c r="L348" s="5"/>
      <c r="O348" s="143" t="str">
        <f t="shared" ca="1" si="93"/>
        <v>'Fuel_Fossil','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49" spans="1:15">
      <c r="A349" s="140"/>
      <c r="B349" s="141">
        <v>3</v>
      </c>
      <c r="C349" s="5" t="s">
        <v>1446</v>
      </c>
      <c r="D349" s="141"/>
      <c r="E349" s="5" t="s">
        <v>1811</v>
      </c>
      <c r="F349" s="144" t="s">
        <v>1812</v>
      </c>
      <c r="G349" s="5"/>
      <c r="H349" s="5"/>
      <c r="I349" s="5" t="s">
        <v>1448</v>
      </c>
      <c r="J349" s="5"/>
      <c r="K349" s="5"/>
      <c r="L349" s="5"/>
      <c r="O349" s="143" t="str">
        <f t="shared" ca="1" si="93"/>
        <v>'Gas','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0" spans="1:15">
      <c r="A350" s="140"/>
      <c r="B350" s="141">
        <v>4</v>
      </c>
      <c r="C350" s="5" t="s">
        <v>1813</v>
      </c>
      <c r="D350" s="141"/>
      <c r="E350" s="5" t="s">
        <v>1814</v>
      </c>
      <c r="F350" s="144" t="s">
        <v>1814</v>
      </c>
      <c r="G350" s="5"/>
      <c r="H350" s="5"/>
      <c r="I350" s="5" t="s">
        <v>1810</v>
      </c>
      <c r="J350" s="5"/>
      <c r="K350" s="5"/>
      <c r="L350" s="5"/>
      <c r="O350" s="143" t="str">
        <f t="shared" ca="1" si="93"/>
        <v>'Gas_E','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1" spans="1:15">
      <c r="A351" s="140"/>
      <c r="B351" s="141">
        <v>5</v>
      </c>
      <c r="C351" s="5" t="s">
        <v>1815</v>
      </c>
      <c r="D351" s="141"/>
      <c r="E351" s="5" t="s">
        <v>1816</v>
      </c>
      <c r="F351" s="144" t="s">
        <v>1816</v>
      </c>
      <c r="G351" s="5"/>
      <c r="H351" s="5"/>
      <c r="I351" s="5" t="s">
        <v>1817</v>
      </c>
      <c r="J351" s="5"/>
      <c r="K351" s="5"/>
      <c r="L351" s="5"/>
      <c r="O351" s="143" t="str">
        <f t="shared" ca="1" si="93"/>
        <v>'Gas_LL','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2" spans="1:15">
      <c r="A352" s="140"/>
      <c r="B352" s="141">
        <v>6</v>
      </c>
      <c r="C352" s="5" t="s">
        <v>1452</v>
      </c>
      <c r="D352" s="141"/>
      <c r="E352" s="5" t="s">
        <v>1818</v>
      </c>
      <c r="F352" s="144" t="s">
        <v>1818</v>
      </c>
      <c r="G352" s="5"/>
      <c r="H352" s="5"/>
      <c r="I352" s="5" t="s">
        <v>1454</v>
      </c>
      <c r="J352" s="5"/>
      <c r="K352" s="5"/>
      <c r="L352" s="5"/>
      <c r="O352" s="143" t="str">
        <f t="shared" ca="1" si="93"/>
        <v>'Gas_Liquid','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3" spans="1:15">
      <c r="A353" s="140"/>
      <c r="B353" s="141">
        <v>7</v>
      </c>
      <c r="C353" s="5" t="s">
        <v>1819</v>
      </c>
      <c r="D353" s="141"/>
      <c r="E353" s="5" t="s">
        <v>1820</v>
      </c>
      <c r="F353" s="144" t="s">
        <v>1821</v>
      </c>
      <c r="G353" s="5"/>
      <c r="H353" s="5"/>
      <c r="I353" s="5" t="s">
        <v>1822</v>
      </c>
      <c r="J353" s="5"/>
      <c r="K353" s="5"/>
      <c r="L353" s="5"/>
      <c r="O353" s="143" t="str">
        <f t="shared" ca="1" si="93"/>
        <v>'Gas_Bio','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4" spans="1:15">
      <c r="A354" s="140"/>
      <c r="B354" s="141">
        <v>8</v>
      </c>
      <c r="C354" s="5" t="s">
        <v>1449</v>
      </c>
      <c r="D354" s="141"/>
      <c r="E354" s="5" t="s">
        <v>1823</v>
      </c>
      <c r="F354" s="144" t="s">
        <v>1823</v>
      </c>
      <c r="G354" s="5"/>
      <c r="H354" s="5"/>
      <c r="I354" s="5" t="s">
        <v>1451</v>
      </c>
      <c r="J354" s="5"/>
      <c r="K354" s="5"/>
      <c r="L354" s="5"/>
      <c r="O354" s="143" t="str">
        <f t="shared" ca="1" si="93"/>
        <v>'Oil','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5" spans="1:15">
      <c r="A355" s="140"/>
      <c r="B355" s="141">
        <v>9</v>
      </c>
      <c r="C355" s="5" t="s">
        <v>1824</v>
      </c>
      <c r="D355" s="141"/>
      <c r="E355" s="5" t="s">
        <v>1825</v>
      </c>
      <c r="F355" s="144" t="s">
        <v>1825</v>
      </c>
      <c r="G355" s="5"/>
      <c r="H355" s="5"/>
      <c r="I355" s="5" t="s">
        <v>1810</v>
      </c>
      <c r="J355" s="5"/>
      <c r="K355" s="5"/>
      <c r="L355" s="5"/>
      <c r="O355" s="143" t="str">
        <f t="shared" ca="1" si="93"/>
        <v>'Oil_ExtraLight','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6" spans="1:15">
      <c r="A356" s="140"/>
      <c r="B356" s="141">
        <v>10</v>
      </c>
      <c r="C356" s="5" t="s">
        <v>1476</v>
      </c>
      <c r="D356" s="141"/>
      <c r="E356" s="5" t="s">
        <v>1826</v>
      </c>
      <c r="F356" s="144" t="s">
        <v>1827</v>
      </c>
      <c r="G356" s="5"/>
      <c r="H356" s="5"/>
      <c r="I356" s="5" t="s">
        <v>1477</v>
      </c>
      <c r="J356" s="5"/>
      <c r="K356" s="5"/>
      <c r="L356" s="5"/>
      <c r="O356" s="143" t="str">
        <f t="shared" ca="1" si="93"/>
        <v>'Coal','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7" spans="1:15">
      <c r="A357" s="140"/>
      <c r="B357" s="141">
        <v>11</v>
      </c>
      <c r="C357" s="5" t="s">
        <v>1828</v>
      </c>
      <c r="D357" s="141"/>
      <c r="E357" s="5" t="s">
        <v>1829</v>
      </c>
      <c r="F357" s="144" t="s">
        <v>1829</v>
      </c>
      <c r="G357" s="5"/>
      <c r="H357" s="5"/>
      <c r="I357" s="5" t="s">
        <v>1830</v>
      </c>
      <c r="J357" s="5"/>
      <c r="K357" s="5"/>
      <c r="L357" s="5"/>
      <c r="O357" s="143" t="str">
        <f t="shared" ca="1" si="93"/>
        <v>'Coal_Hard','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8" spans="1:15">
      <c r="A358" s="140"/>
      <c r="B358" s="141">
        <v>12</v>
      </c>
      <c r="C358" s="5" t="s">
        <v>1831</v>
      </c>
      <c r="D358" s="141"/>
      <c r="E358" s="5" t="s">
        <v>1832</v>
      </c>
      <c r="F358" s="144" t="s">
        <v>1832</v>
      </c>
      <c r="G358" s="5"/>
      <c r="H358" s="5"/>
      <c r="I358" s="5" t="s">
        <v>1833</v>
      </c>
      <c r="J358" s="5"/>
      <c r="K358" s="5"/>
      <c r="L358" s="5"/>
      <c r="O358" s="143" t="str">
        <f t="shared" ca="1" si="93"/>
        <v>'Coal_Lignite','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59" spans="1:15">
      <c r="A359" s="140"/>
      <c r="B359" s="141">
        <v>13</v>
      </c>
      <c r="C359" s="5" t="s">
        <v>1495</v>
      </c>
      <c r="D359" s="141"/>
      <c r="E359" s="5" t="s">
        <v>1834</v>
      </c>
      <c r="F359" s="144" t="s">
        <v>1835</v>
      </c>
      <c r="G359" s="5"/>
      <c r="H359" s="5"/>
      <c r="I359" s="5" t="s">
        <v>1836</v>
      </c>
      <c r="J359" s="5"/>
      <c r="K359" s="5"/>
      <c r="L359" s="5"/>
      <c r="O359" s="143" t="str">
        <f t="shared" ca="1" si="93"/>
        <v>'Bio','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0" spans="1:15">
      <c r="A360" s="140"/>
      <c r="B360" s="141">
        <v>14</v>
      </c>
      <c r="C360" s="5" t="s">
        <v>1499</v>
      </c>
      <c r="D360" s="141"/>
      <c r="E360" s="5" t="s">
        <v>1837</v>
      </c>
      <c r="F360" s="144" t="s">
        <v>1838</v>
      </c>
      <c r="G360" s="5"/>
      <c r="H360" s="5"/>
      <c r="I360" s="5" t="s">
        <v>1470</v>
      </c>
      <c r="J360" s="5"/>
      <c r="K360" s="5"/>
      <c r="L360" s="5"/>
      <c r="O360" s="143" t="str">
        <f t="shared" ca="1" si="93"/>
        <v>'Bio_Wood','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1" spans="1:15">
      <c r="A361" s="140"/>
      <c r="B361" s="141">
        <v>15</v>
      </c>
      <c r="C361" s="5" t="s">
        <v>1468</v>
      </c>
      <c r="D361" s="141"/>
      <c r="E361" s="5" t="s">
        <v>1839</v>
      </c>
      <c r="F361" s="144" t="s">
        <v>1839</v>
      </c>
      <c r="G361" s="5"/>
      <c r="H361" s="5"/>
      <c r="I361" s="5" t="s">
        <v>1470</v>
      </c>
      <c r="J361" s="5"/>
      <c r="K361" s="5"/>
      <c r="L361" s="5"/>
      <c r="O361" s="143" t="str">
        <f t="shared" ca="1" si="93"/>
        <v>'Bio_FW','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2" spans="1:15">
      <c r="A362" s="140"/>
      <c r="B362" s="141">
        <v>16</v>
      </c>
      <c r="C362" s="5" t="s">
        <v>1471</v>
      </c>
      <c r="D362" s="141"/>
      <c r="E362" s="5" t="s">
        <v>1840</v>
      </c>
      <c r="F362" s="144" t="s">
        <v>1840</v>
      </c>
      <c r="G362" s="5"/>
      <c r="H362" s="5"/>
      <c r="I362" s="5" t="s">
        <v>1841</v>
      </c>
      <c r="J362" s="5"/>
      <c r="K362" s="5"/>
      <c r="L362" s="5"/>
      <c r="O362" s="143" t="str">
        <f t="shared" ca="1" si="93"/>
        <v>'Bio_WP','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3" spans="1:15">
      <c r="A363" s="140"/>
      <c r="B363" s="141">
        <v>17</v>
      </c>
      <c r="C363" s="5" t="s">
        <v>1473</v>
      </c>
      <c r="D363" s="141"/>
      <c r="E363" s="5" t="s">
        <v>1842</v>
      </c>
      <c r="F363" s="144" t="s">
        <v>1842</v>
      </c>
      <c r="G363" s="5"/>
      <c r="H363" s="5"/>
      <c r="I363" s="5" t="s">
        <v>1475</v>
      </c>
      <c r="J363" s="5"/>
      <c r="K363" s="5"/>
      <c r="L363" s="5"/>
      <c r="O363" s="143" t="str">
        <f t="shared" ca="1" si="93"/>
        <v>'Bio_WC','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4" spans="1:15" ht="20.399999999999999">
      <c r="A364" s="140"/>
      <c r="B364" s="141">
        <v>18</v>
      </c>
      <c r="C364" s="5" t="s">
        <v>1843</v>
      </c>
      <c r="D364" s="5"/>
      <c r="E364" s="5" t="s">
        <v>1844</v>
      </c>
      <c r="F364" s="5" t="s">
        <v>1845</v>
      </c>
      <c r="G364" s="5"/>
      <c r="H364" s="5"/>
      <c r="I364" s="5" t="s">
        <v>1846</v>
      </c>
      <c r="J364" s="5"/>
      <c r="K364" s="5"/>
      <c r="L364" s="5"/>
      <c r="O364" s="143" t="str">
        <f t="shared" ca="1" si="93"/>
        <v>'Bio_Other','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5" spans="1:15" ht="20.399999999999999">
      <c r="A365" s="140"/>
      <c r="B365" s="141">
        <v>19</v>
      </c>
      <c r="C365" s="5" t="s">
        <v>1847</v>
      </c>
      <c r="D365" s="5"/>
      <c r="E365" s="5" t="s">
        <v>1848</v>
      </c>
      <c r="F365" s="5" t="s">
        <v>1849</v>
      </c>
      <c r="G365" s="5"/>
      <c r="H365" s="5"/>
      <c r="I365" s="5" t="s">
        <v>1850</v>
      </c>
      <c r="J365" s="5" t="s">
        <v>1851</v>
      </c>
      <c r="K365" s="5"/>
      <c r="L365" s="5"/>
      <c r="O365" s="143" t="str">
        <f t="shared" ca="1" si="93"/>
        <v>'Bio_LiquidFuel','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6" spans="1:15" ht="20.399999999999999">
      <c r="A366" s="140"/>
      <c r="B366" s="141">
        <v>20</v>
      </c>
      <c r="C366" s="5" t="s">
        <v>1852</v>
      </c>
      <c r="D366" s="5"/>
      <c r="E366" s="5" t="s">
        <v>1820</v>
      </c>
      <c r="F366" s="5" t="s">
        <v>1853</v>
      </c>
      <c r="G366" s="5"/>
      <c r="H366" s="5"/>
      <c r="I366" s="5" t="s">
        <v>1822</v>
      </c>
      <c r="J366" s="5" t="s">
        <v>1854</v>
      </c>
      <c r="K366" s="5"/>
      <c r="L366" s="5"/>
      <c r="O366" s="143" t="str">
        <f t="shared" ca="1" si="93"/>
        <v>'Bio_Gas','El','El_OP','El_Prod','El_Prod_CHP','El_PV','El_Prod_PV','El_Prod_ExportGrid','El_Prod_ExportGrid_CHP','El_Prod_ExportGrid_PV','El_Prod_Used','El_Prod_Used_CHP','El_Prod_Used_PV','DH','DH_NoCHP','DH_CHP','DH_Gas_NoCHP','DH_Gas_CHP','DH_Oil_NoCHP','DH_Oil_CHP','DH_Coal_NoCHP','DH_Coal_CHP','DH_Bio_NoCHP','DH_Bio_CHP','Other','-','_NA_'</v>
      </c>
    </row>
    <row r="367" spans="1:15">
      <c r="A367" s="140"/>
      <c r="B367" s="141">
        <v>21</v>
      </c>
      <c r="C367" s="5" t="s">
        <v>1567</v>
      </c>
      <c r="D367" s="5"/>
      <c r="E367" s="5" t="s">
        <v>1855</v>
      </c>
      <c r="F367" s="5" t="s">
        <v>1855</v>
      </c>
      <c r="G367" s="5"/>
      <c r="H367" s="5"/>
      <c r="I367" s="5" t="s">
        <v>1569</v>
      </c>
      <c r="J367" s="5"/>
      <c r="K367" s="5"/>
      <c r="L367" s="5"/>
      <c r="O367" s="143" t="str">
        <f t="shared" ca="1" si="93"/>
        <v>'El','El_OP','El_Prod','El_Prod_CHP','El_PV','El_Prod_PV','El_Prod_ExportGrid','El_Prod_ExportGrid_CHP','El_Prod_ExportGrid_PV','El_Prod_Used','El_Prod_Used_CHP','El_Prod_Used_PV','DH','DH_NoCHP','DH_CHP','DH_Gas_NoCHP','DH_Gas_CHP','DH_Oil_NoCHP','DH_Oil_CHP','DH_Coal_NoCHP','DH_Coal_CHP','DH_Bio_NoCHP','DH_Bio_CHP','Other','-','_NA_'</v>
      </c>
    </row>
    <row r="368" spans="1:15" ht="20.399999999999999">
      <c r="A368" s="140"/>
      <c r="B368" s="141">
        <v>22</v>
      </c>
      <c r="C368" s="5" t="s">
        <v>1570</v>
      </c>
      <c r="D368" s="5"/>
      <c r="E368" s="5" t="s">
        <v>1856</v>
      </c>
      <c r="F368" s="5" t="s">
        <v>1856</v>
      </c>
      <c r="G368" s="5"/>
      <c r="H368" s="5"/>
      <c r="I368" s="5" t="s">
        <v>1857</v>
      </c>
      <c r="J368" s="5"/>
      <c r="K368" s="5"/>
      <c r="L368" s="5"/>
      <c r="O368" s="143" t="str">
        <f t="shared" ca="1" si="93"/>
        <v>'El_OP','El_Prod','El_Prod_CHP','El_PV','El_Prod_PV','El_Prod_ExportGrid','El_Prod_ExportGrid_CHP','El_Prod_ExportGrid_PV','El_Prod_Used','El_Prod_Used_CHP','El_Prod_Used_PV','DH','DH_NoCHP','DH_CHP','DH_Gas_NoCHP','DH_Gas_CHP','DH_Oil_NoCHP','DH_Oil_CHP','DH_Coal_NoCHP','DH_Coal_CHP','DH_Bio_NoCHP','DH_Bio_CHP','Other','-','_NA_'</v>
      </c>
    </row>
    <row r="369" spans="1:15">
      <c r="A369" s="140"/>
      <c r="B369" s="141">
        <v>23</v>
      </c>
      <c r="C369" s="5" t="s">
        <v>1858</v>
      </c>
      <c r="D369" s="5"/>
      <c r="E369" s="5" t="s">
        <v>1859</v>
      </c>
      <c r="F369" s="5" t="s">
        <v>1860</v>
      </c>
      <c r="G369" s="5"/>
      <c r="H369" s="5"/>
      <c r="I369" s="5" t="s">
        <v>1861</v>
      </c>
      <c r="J369" s="5"/>
      <c r="K369" s="5"/>
      <c r="L369" s="5"/>
      <c r="O369" s="143" t="str">
        <f t="shared" ca="1" si="93"/>
        <v>'El_Prod','El_Prod_CHP','El_PV','El_Prod_PV','El_Prod_ExportGrid','El_Prod_ExportGrid_CHP','El_Prod_ExportGrid_PV','El_Prod_Used','El_Prod_Used_CHP','El_Prod_Used_PV','DH','DH_NoCHP','DH_CHP','DH_Gas_NoCHP','DH_Gas_CHP','DH_Oil_NoCHP','DH_Oil_CHP','DH_Coal_NoCHP','DH_Coal_CHP','DH_Bio_NoCHP','DH_Bio_CHP','Other','-','_NA_'</v>
      </c>
    </row>
    <row r="370" spans="1:15" ht="20.399999999999999">
      <c r="A370" s="140"/>
      <c r="B370" s="141">
        <v>24</v>
      </c>
      <c r="C370" s="5" t="s">
        <v>1862</v>
      </c>
      <c r="D370" s="5"/>
      <c r="E370" s="5" t="s">
        <v>1863</v>
      </c>
      <c r="F370" s="5" t="s">
        <v>1864</v>
      </c>
      <c r="G370" s="5"/>
      <c r="H370" s="5"/>
      <c r="I370" s="5" t="s">
        <v>1865</v>
      </c>
      <c r="J370" s="5"/>
      <c r="K370" s="5"/>
      <c r="L370" s="5"/>
      <c r="O370" s="143" t="str">
        <f t="shared" ca="1" si="93"/>
        <v>'El_Prod_CHP','El_PV','El_Prod_PV','El_Prod_ExportGrid','El_Prod_ExportGrid_CHP','El_Prod_ExportGrid_PV','El_Prod_Used','El_Prod_Used_CHP','El_Prod_Used_PV','DH','DH_NoCHP','DH_CHP','DH_Gas_NoCHP','DH_Gas_CHP','DH_Oil_NoCHP','DH_Oil_CHP','DH_Coal_NoCHP','DH_Coal_CHP','DH_Bio_NoCHP','DH_Bio_CHP','Other','-','_NA_'</v>
      </c>
    </row>
    <row r="371" spans="1:15" ht="81.599999999999994">
      <c r="A371" s="140"/>
      <c r="B371" s="141">
        <v>25</v>
      </c>
      <c r="C371" s="5" t="s">
        <v>1866</v>
      </c>
      <c r="D371" s="5"/>
      <c r="E371" s="5" t="s">
        <v>1867</v>
      </c>
      <c r="F371" s="5" t="s">
        <v>1868</v>
      </c>
      <c r="G371" s="5"/>
      <c r="H371" s="5"/>
      <c r="I371" s="5"/>
      <c r="J371" s="5"/>
      <c r="K371" s="5"/>
      <c r="L371" s="5"/>
      <c r="O371" s="143" t="str">
        <f t="shared" ca="1" si="93"/>
        <v>'El_PV','El_Prod_PV','El_Prod_ExportGrid','El_Prod_ExportGrid_CHP','El_Prod_ExportGrid_PV','El_Prod_Used','El_Prod_Used_CHP','El_Prod_Used_PV','DH','DH_NoCHP','DH_CHP','DH_Gas_NoCHP','DH_Gas_CHP','DH_Oil_NoCHP','DH_Oil_CHP','DH_Coal_NoCHP','DH_Coal_CHP','DH_Bio_NoCHP','DH_Bio_CHP','Other','-','_NA_'</v>
      </c>
    </row>
    <row r="372" spans="1:15" ht="20.399999999999999">
      <c r="A372" s="140"/>
      <c r="B372" s="141">
        <v>26</v>
      </c>
      <c r="C372" s="5" t="s">
        <v>1869</v>
      </c>
      <c r="D372" s="5"/>
      <c r="E372" s="5" t="s">
        <v>1870</v>
      </c>
      <c r="F372" s="5" t="s">
        <v>1871</v>
      </c>
      <c r="G372" s="5"/>
      <c r="H372" s="5"/>
      <c r="I372" s="5" t="s">
        <v>1872</v>
      </c>
      <c r="J372" s="5"/>
      <c r="K372" s="5"/>
      <c r="L372" s="5"/>
      <c r="O372" s="143" t="str">
        <f t="shared" ca="1" si="93"/>
        <v>'El_Prod_PV','El_Prod_ExportGrid','El_Prod_ExportGrid_CHP','El_Prod_ExportGrid_PV','El_Prod_Used','El_Prod_Used_CHP','El_Prod_Used_PV','DH','DH_NoCHP','DH_CHP','DH_Gas_NoCHP','DH_Gas_CHP','DH_Oil_NoCHP','DH_Oil_CHP','DH_Coal_NoCHP','DH_Coal_CHP','DH_Bio_NoCHP','DH_Bio_CHP','Other','-','_NA_'</v>
      </c>
    </row>
    <row r="373" spans="1:15" ht="20.399999999999999">
      <c r="A373" s="140"/>
      <c r="B373" s="141">
        <v>27</v>
      </c>
      <c r="C373" s="5" t="s">
        <v>1873</v>
      </c>
      <c r="D373" s="5"/>
      <c r="E373" s="5" t="s">
        <v>1874</v>
      </c>
      <c r="F373" s="5" t="s">
        <v>1875</v>
      </c>
      <c r="G373" s="5"/>
      <c r="H373" s="5"/>
      <c r="I373" s="5"/>
      <c r="J373" s="5"/>
      <c r="K373" s="5"/>
      <c r="L373" s="5"/>
      <c r="O373" s="143" t="str">
        <f t="shared" ca="1" si="93"/>
        <v>'El_Prod_ExportGrid','El_Prod_ExportGrid_CHP','El_Prod_ExportGrid_PV','El_Prod_Used','El_Prod_Used_CHP','El_Prod_Used_PV','DH','DH_NoCHP','DH_CHP','DH_Gas_NoCHP','DH_Gas_CHP','DH_Oil_NoCHP','DH_Oil_CHP','DH_Coal_NoCHP','DH_Coal_CHP','DH_Bio_NoCHP','DH_Bio_CHP','Other','-','_NA_'</v>
      </c>
    </row>
    <row r="374" spans="1:15" ht="30.6">
      <c r="A374" s="140"/>
      <c r="B374" s="141">
        <v>28</v>
      </c>
      <c r="C374" s="5" t="s">
        <v>1876</v>
      </c>
      <c r="D374" s="5"/>
      <c r="E374" s="5" t="s">
        <v>1877</v>
      </c>
      <c r="F374" s="5" t="s">
        <v>1878</v>
      </c>
      <c r="G374" s="5"/>
      <c r="H374" s="5"/>
      <c r="I374" s="5"/>
      <c r="J374" s="5"/>
      <c r="K374" s="5"/>
      <c r="L374" s="5"/>
      <c r="O374" s="143" t="str">
        <f t="shared" ca="1" si="93"/>
        <v>'El_Prod_ExportGrid_CHP','El_Prod_ExportGrid_PV','El_Prod_Used','El_Prod_Used_CHP','El_Prod_Used_PV','DH','DH_NoCHP','DH_CHP','DH_Gas_NoCHP','DH_Gas_CHP','DH_Oil_NoCHP','DH_Oil_CHP','DH_Coal_NoCHP','DH_Coal_CHP','DH_Bio_NoCHP','DH_Bio_CHP','Other','-','_NA_'</v>
      </c>
    </row>
    <row r="375" spans="1:15" ht="30.6">
      <c r="A375" s="140"/>
      <c r="B375" s="141">
        <v>29</v>
      </c>
      <c r="C375" s="5" t="s">
        <v>1879</v>
      </c>
      <c r="D375" s="5"/>
      <c r="E375" s="5" t="s">
        <v>1880</v>
      </c>
      <c r="F375" s="5" t="s">
        <v>1881</v>
      </c>
      <c r="G375" s="5"/>
      <c r="H375" s="5"/>
      <c r="I375" s="5"/>
      <c r="J375" s="5"/>
      <c r="K375" s="5"/>
      <c r="L375" s="5"/>
      <c r="O375" s="143" t="str">
        <f t="shared" ca="1" si="93"/>
        <v>'El_Prod_ExportGrid_PV','El_Prod_Used','El_Prod_Used_CHP','El_Prod_Used_PV','DH','DH_NoCHP','DH_CHP','DH_Gas_NoCHP','DH_Gas_CHP','DH_Oil_NoCHP','DH_Oil_CHP','DH_Coal_NoCHP','DH_Coal_CHP','DH_Bio_NoCHP','DH_Bio_CHP','Other','-','_NA_'</v>
      </c>
    </row>
    <row r="376" spans="1:15" ht="20.399999999999999">
      <c r="A376" s="140"/>
      <c r="B376" s="141">
        <v>30</v>
      </c>
      <c r="C376" s="5" t="s">
        <v>1882</v>
      </c>
      <c r="D376" s="5"/>
      <c r="E376" s="5" t="s">
        <v>1883</v>
      </c>
      <c r="F376" s="5" t="s">
        <v>1884</v>
      </c>
      <c r="G376" s="5"/>
      <c r="H376" s="5"/>
      <c r="I376" s="5"/>
      <c r="J376" s="5"/>
      <c r="K376" s="5"/>
      <c r="L376" s="5"/>
      <c r="O376" s="143" t="str">
        <f t="shared" ca="1" si="93"/>
        <v>'El_Prod_Used','El_Prod_Used_CHP','El_Prod_Used_PV','DH','DH_NoCHP','DH_CHP','DH_Gas_NoCHP','DH_Gas_CHP','DH_Oil_NoCHP','DH_Oil_CHP','DH_Coal_NoCHP','DH_Coal_CHP','DH_Bio_NoCHP','DH_Bio_CHP','Other','-','_NA_'</v>
      </c>
    </row>
    <row r="377" spans="1:15" ht="30.6">
      <c r="A377" s="140"/>
      <c r="B377" s="141">
        <v>31</v>
      </c>
      <c r="C377" s="5" t="s">
        <v>1885</v>
      </c>
      <c r="D377" s="5"/>
      <c r="E377" s="5" t="s">
        <v>1886</v>
      </c>
      <c r="F377" s="5" t="s">
        <v>1887</v>
      </c>
      <c r="G377" s="5"/>
      <c r="H377" s="5"/>
      <c r="I377" s="5"/>
      <c r="J377" s="5"/>
      <c r="K377" s="5"/>
      <c r="L377" s="5"/>
      <c r="O377" s="143" t="str">
        <f t="shared" ca="1" si="93"/>
        <v>'El_Prod_Used_CHP','El_Prod_Used_PV','DH','DH_NoCHP','DH_CHP','DH_Gas_NoCHP','DH_Gas_CHP','DH_Oil_NoCHP','DH_Oil_CHP','DH_Coal_NoCHP','DH_Coal_CHP','DH_Bio_NoCHP','DH_Bio_CHP','Other','-','_NA_'</v>
      </c>
    </row>
    <row r="378" spans="1:15" ht="30.6">
      <c r="A378" s="140"/>
      <c r="B378" s="141">
        <v>32</v>
      </c>
      <c r="C378" s="5" t="s">
        <v>1888</v>
      </c>
      <c r="D378" s="5"/>
      <c r="E378" s="5" t="s">
        <v>1889</v>
      </c>
      <c r="F378" s="5" t="s">
        <v>1890</v>
      </c>
      <c r="G378" s="5"/>
      <c r="H378" s="5"/>
      <c r="I378" s="5"/>
      <c r="J378" s="5"/>
      <c r="K378" s="5"/>
      <c r="L378" s="5"/>
      <c r="O378" s="143" t="str">
        <f t="shared" ca="1" si="93"/>
        <v>'El_Prod_Used_PV','DH','DH_NoCHP','DH_CHP','DH_Gas_NoCHP','DH_Gas_CHP','DH_Oil_NoCHP','DH_Oil_CHP','DH_Coal_NoCHP','DH_Coal_CHP','DH_Bio_NoCHP','DH_Bio_CHP','Other','-','_NA_'</v>
      </c>
    </row>
    <row r="379" spans="1:15">
      <c r="A379" s="140"/>
      <c r="B379" s="141">
        <v>33</v>
      </c>
      <c r="C379" s="5" t="s">
        <v>1891</v>
      </c>
      <c r="D379" s="5"/>
      <c r="E379" s="5" t="s">
        <v>1892</v>
      </c>
      <c r="F379" s="5" t="s">
        <v>1893</v>
      </c>
      <c r="G379" s="5"/>
      <c r="H379" s="5"/>
      <c r="I379" s="5" t="s">
        <v>1894</v>
      </c>
      <c r="J379" s="5" t="s">
        <v>1895</v>
      </c>
      <c r="K379" s="5"/>
      <c r="L379" s="5"/>
      <c r="O379" s="143" t="str">
        <f t="shared" ca="1" si="93"/>
        <v>'DH','DH_NoCHP','DH_CHP','DH_Gas_NoCHP','DH_Gas_CHP','DH_Oil_NoCHP','DH_Oil_CHP','DH_Coal_NoCHP','DH_Coal_CHP','DH_Bio_NoCHP','DH_Bio_CHP','Other','-','_NA_'</v>
      </c>
    </row>
    <row r="380" spans="1:15" ht="20.399999999999999">
      <c r="A380" s="140"/>
      <c r="B380" s="141">
        <v>34</v>
      </c>
      <c r="C380" s="5" t="s">
        <v>1896</v>
      </c>
      <c r="D380" s="5"/>
      <c r="E380" s="5" t="s">
        <v>1897</v>
      </c>
      <c r="F380" s="5" t="s">
        <v>1898</v>
      </c>
      <c r="G380" s="5"/>
      <c r="H380" s="5"/>
      <c r="I380" s="5" t="s">
        <v>1899</v>
      </c>
      <c r="J380" s="5" t="s">
        <v>1900</v>
      </c>
      <c r="K380" s="5"/>
      <c r="L380" s="5"/>
      <c r="O380" s="143" t="str">
        <f t="shared" ca="1" si="93"/>
        <v>'DH_NoCHP','DH_CHP','DH_Gas_NoCHP','DH_Gas_CHP','DH_Oil_NoCHP','DH_Oil_CHP','DH_Coal_NoCHP','DH_Coal_CHP','DH_Bio_NoCHP','DH_Bio_CHP','Other','-','_NA_'</v>
      </c>
    </row>
    <row r="381" spans="1:15" ht="20.399999999999999">
      <c r="A381" s="140"/>
      <c r="B381" s="141">
        <v>35</v>
      </c>
      <c r="C381" s="5" t="s">
        <v>1901</v>
      </c>
      <c r="D381" s="5"/>
      <c r="E381" s="5" t="s">
        <v>1902</v>
      </c>
      <c r="F381" s="5" t="s">
        <v>1903</v>
      </c>
      <c r="G381" s="5"/>
      <c r="H381" s="5"/>
      <c r="I381" s="5" t="s">
        <v>1904</v>
      </c>
      <c r="J381" s="5" t="s">
        <v>1905</v>
      </c>
      <c r="K381" s="5"/>
      <c r="L381" s="5"/>
      <c r="O381" s="143" t="str">
        <f t="shared" ca="1" si="93"/>
        <v>'DH_CHP','DH_Gas_NoCHP','DH_Gas_CHP','DH_Oil_NoCHP','DH_Oil_CHP','DH_Coal_NoCHP','DH_Coal_CHP','DH_Bio_NoCHP','DH_Bio_CHP','Other','-','_NA_'</v>
      </c>
    </row>
    <row r="382" spans="1:15" ht="20.399999999999999">
      <c r="A382" s="140"/>
      <c r="B382" s="141">
        <v>36</v>
      </c>
      <c r="C382" s="5" t="s">
        <v>1906</v>
      </c>
      <c r="D382" s="5"/>
      <c r="E382" s="5" t="s">
        <v>1907</v>
      </c>
      <c r="F382" s="5" t="s">
        <v>1908</v>
      </c>
      <c r="G382" s="5"/>
      <c r="H382" s="5"/>
      <c r="I382" s="5" t="s">
        <v>1909</v>
      </c>
      <c r="J382" s="5"/>
      <c r="K382" s="5"/>
      <c r="L382" s="5"/>
      <c r="O382" s="143" t="str">
        <f t="shared" ca="1" si="93"/>
        <v>'DH_Gas_NoCHP','DH_Gas_CHP','DH_Oil_NoCHP','DH_Oil_CHP','DH_Coal_NoCHP','DH_Coal_CHP','DH_Bio_NoCHP','DH_Bio_CHP','Other','-','_NA_'</v>
      </c>
    </row>
    <row r="383" spans="1:15" ht="20.399999999999999">
      <c r="A383" s="140"/>
      <c r="B383" s="141">
        <v>37</v>
      </c>
      <c r="C383" s="5" t="s">
        <v>1910</v>
      </c>
      <c r="D383" s="5"/>
      <c r="E383" s="5" t="s">
        <v>1911</v>
      </c>
      <c r="F383" s="5" t="s">
        <v>1912</v>
      </c>
      <c r="G383" s="5"/>
      <c r="H383" s="5"/>
      <c r="I383" s="5" t="s">
        <v>1913</v>
      </c>
      <c r="J383" s="5"/>
      <c r="K383" s="5"/>
      <c r="L383" s="5"/>
      <c r="O383" s="143" t="str">
        <f t="shared" ca="1" si="93"/>
        <v>'DH_Gas_CHP','DH_Oil_NoCHP','DH_Oil_CHP','DH_Coal_NoCHP','DH_Coal_CHP','DH_Bio_NoCHP','DH_Bio_CHP','Other','-','_NA_'</v>
      </c>
    </row>
    <row r="384" spans="1:15" ht="20.399999999999999">
      <c r="A384" s="140"/>
      <c r="B384" s="141">
        <v>38</v>
      </c>
      <c r="C384" s="5" t="s">
        <v>1914</v>
      </c>
      <c r="D384" s="5"/>
      <c r="E384" s="5" t="s">
        <v>1915</v>
      </c>
      <c r="F384" s="5" t="s">
        <v>1916</v>
      </c>
      <c r="G384" s="5"/>
      <c r="H384" s="5"/>
      <c r="I384" s="5"/>
      <c r="J384" s="5"/>
      <c r="K384" s="5"/>
      <c r="L384" s="5"/>
      <c r="O384" s="143" t="str">
        <f t="shared" ca="1" si="93"/>
        <v>'DH_Oil_NoCHP','DH_Oil_CHP','DH_Coal_NoCHP','DH_Coal_CHP','DH_Bio_NoCHP','DH_Bio_CHP','Other','-','_NA_'</v>
      </c>
    </row>
    <row r="385" spans="1:15" ht="20.399999999999999">
      <c r="A385" s="140"/>
      <c r="B385" s="141">
        <v>39</v>
      </c>
      <c r="C385" s="5" t="s">
        <v>1917</v>
      </c>
      <c r="D385" s="5"/>
      <c r="E385" s="5" t="s">
        <v>1918</v>
      </c>
      <c r="F385" s="5" t="s">
        <v>1919</v>
      </c>
      <c r="G385" s="5"/>
      <c r="H385" s="5"/>
      <c r="I385" s="5"/>
      <c r="J385" s="5"/>
      <c r="K385" s="5"/>
      <c r="L385" s="5"/>
      <c r="O385" s="143" t="str">
        <f t="shared" ca="1" si="93"/>
        <v>'DH_Oil_CHP','DH_Coal_NoCHP','DH_Coal_CHP','DH_Bio_NoCHP','DH_Bio_CHP','Other','-','_NA_'</v>
      </c>
    </row>
    <row r="386" spans="1:15" ht="20.399999999999999">
      <c r="A386" s="140"/>
      <c r="B386" s="141">
        <v>40</v>
      </c>
      <c r="C386" s="5" t="s">
        <v>1920</v>
      </c>
      <c r="D386" s="5"/>
      <c r="E386" s="5" t="s">
        <v>1921</v>
      </c>
      <c r="F386" s="5" t="s">
        <v>1922</v>
      </c>
      <c r="G386" s="5"/>
      <c r="H386" s="5"/>
      <c r="I386" s="5"/>
      <c r="J386" s="5"/>
      <c r="K386" s="5"/>
      <c r="L386" s="5"/>
      <c r="O386" s="143" t="str">
        <f t="shared" ca="1" si="93"/>
        <v>'DH_Coal_NoCHP','DH_Coal_CHP','DH_Bio_NoCHP','DH_Bio_CHP','Other','-','_NA_'</v>
      </c>
    </row>
    <row r="387" spans="1:15" ht="20.399999999999999">
      <c r="A387" s="140"/>
      <c r="B387" s="141">
        <v>41</v>
      </c>
      <c r="C387" s="5" t="s">
        <v>1923</v>
      </c>
      <c r="D387" s="5"/>
      <c r="E387" s="5" t="s">
        <v>1924</v>
      </c>
      <c r="F387" s="5" t="s">
        <v>1925</v>
      </c>
      <c r="G387" s="5"/>
      <c r="H387" s="5"/>
      <c r="I387" s="5"/>
      <c r="J387" s="5"/>
      <c r="K387" s="5"/>
      <c r="L387" s="5"/>
      <c r="O387" s="143" t="str">
        <f t="shared" ca="1" si="93"/>
        <v>'DH_Coal_CHP','DH_Bio_NoCHP','DH_Bio_CHP','Other','-','_NA_'</v>
      </c>
    </row>
    <row r="388" spans="1:15" ht="20.399999999999999">
      <c r="A388" s="140"/>
      <c r="B388" s="141">
        <v>42</v>
      </c>
      <c r="C388" s="5" t="s">
        <v>1926</v>
      </c>
      <c r="D388" s="5"/>
      <c r="E388" s="5" t="s">
        <v>1927</v>
      </c>
      <c r="F388" s="5" t="s">
        <v>1928</v>
      </c>
      <c r="G388" s="5"/>
      <c r="H388" s="5"/>
      <c r="I388" s="5"/>
      <c r="J388" s="5"/>
      <c r="K388" s="5"/>
      <c r="L388" s="5"/>
      <c r="O388" s="143" t="str">
        <f t="shared" ca="1" si="93"/>
        <v>'DH_Bio_NoCHP','DH_Bio_CHP','Other','-','_NA_'</v>
      </c>
    </row>
    <row r="389" spans="1:15" ht="20.399999999999999">
      <c r="A389" s="140"/>
      <c r="B389" s="141">
        <v>43</v>
      </c>
      <c r="C389" s="5" t="s">
        <v>1929</v>
      </c>
      <c r="D389" s="5"/>
      <c r="E389" s="5" t="s">
        <v>1930</v>
      </c>
      <c r="F389" s="5" t="s">
        <v>1931</v>
      </c>
      <c r="G389" s="5"/>
      <c r="H389" s="5"/>
      <c r="I389" s="5"/>
      <c r="J389" s="5"/>
      <c r="K389" s="5"/>
      <c r="L389" s="5"/>
      <c r="O389" s="143" t="str">
        <f t="shared" ca="1" si="93"/>
        <v>'DH_Bio_CHP','Other','-','_NA_'</v>
      </c>
    </row>
    <row r="390" spans="1:15">
      <c r="A390" s="140"/>
      <c r="B390" s="141">
        <v>44</v>
      </c>
      <c r="C390" s="5" t="s">
        <v>1478</v>
      </c>
      <c r="D390" s="5"/>
      <c r="E390" s="5" t="s">
        <v>1932</v>
      </c>
      <c r="F390" s="5" t="s">
        <v>1933</v>
      </c>
      <c r="G390" s="5"/>
      <c r="H390" s="5"/>
      <c r="I390" s="5"/>
      <c r="J390" s="5"/>
      <c r="K390" s="5"/>
      <c r="L390" s="5"/>
      <c r="O390" s="143" t="str">
        <f t="shared" ca="1" si="93"/>
        <v>'Other','-','_NA_'</v>
      </c>
    </row>
    <row r="391" spans="1:15">
      <c r="A391" s="140"/>
      <c r="B391" s="141">
        <v>45</v>
      </c>
      <c r="C391" s="5" t="s">
        <v>1266</v>
      </c>
      <c r="D391" s="5"/>
      <c r="E391" s="5" t="s">
        <v>1934</v>
      </c>
      <c r="F391" s="5"/>
      <c r="G391" s="5"/>
      <c r="H391" s="5"/>
      <c r="I391" s="5" t="s">
        <v>1935</v>
      </c>
      <c r="J391" s="5"/>
      <c r="K391" s="5"/>
      <c r="L391" s="5"/>
      <c r="O391" s="143" t="str">
        <f t="shared" ca="1" si="93"/>
        <v>'-','_NA_'</v>
      </c>
    </row>
    <row r="392" spans="1:15">
      <c r="A392" s="140"/>
      <c r="B392" s="141">
        <v>46</v>
      </c>
      <c r="C392" s="5" t="s">
        <v>41</v>
      </c>
      <c r="D392" s="141"/>
      <c r="E392" s="5" t="s">
        <v>1051</v>
      </c>
      <c r="F392" s="5" t="s">
        <v>1052</v>
      </c>
      <c r="G392" s="5"/>
      <c r="H392" s="5"/>
      <c r="I392" s="5" t="s">
        <v>1053</v>
      </c>
      <c r="J392" s="5" t="s">
        <v>1054</v>
      </c>
      <c r="K392" s="5"/>
      <c r="L392" s="5"/>
      <c r="O392" s="143" t="str">
        <f t="shared" ca="1" si="93"/>
        <v>'_NA_'</v>
      </c>
    </row>
    <row r="393" spans="1:15" ht="19.5" customHeight="1">
      <c r="A393" s="133" t="s">
        <v>1936</v>
      </c>
      <c r="B393" s="134"/>
      <c r="C393" s="135"/>
      <c r="D393" s="136">
        <v>7</v>
      </c>
      <c r="E393" s="137" t="s">
        <v>1937</v>
      </c>
      <c r="F393" s="137" t="s">
        <v>1938</v>
      </c>
      <c r="G393" s="137" t="s">
        <v>1939</v>
      </c>
      <c r="H393" s="137"/>
      <c r="I393" s="137" t="s">
        <v>1940</v>
      </c>
      <c r="J393" s="137" t="s">
        <v>1941</v>
      </c>
      <c r="K393" s="137" t="s">
        <v>1942</v>
      </c>
      <c r="L393" s="137"/>
      <c r="M393" s="138" t="str">
        <f>"Pre-defined codes ("&amp;F393&amp;" / "&amp;G393&amp;")"</f>
        <v>Pre-defined codes (Energy balance calculation / Correction of calculation results by climate data)</v>
      </c>
      <c r="N393" s="138" t="str">
        <f>"festgelegte Codes ("&amp;J393&amp;" / "&amp;K393&amp;"):"</f>
        <v>festgelegte Codes (Energiebilanzberechnung / Korrektur der Ergebnisse durch Klimadaten):</v>
      </c>
      <c r="O393" s="143" t="str">
        <f t="shared" ca="1" si="93"/>
        <v/>
      </c>
    </row>
    <row r="394" spans="1:15">
      <c r="A394" s="140"/>
      <c r="B394" s="141">
        <v>1</v>
      </c>
      <c r="C394" s="5" t="s">
        <v>1255</v>
      </c>
      <c r="D394" s="141"/>
      <c r="E394" s="5" t="s">
        <v>1255</v>
      </c>
      <c r="F394" s="144" t="s">
        <v>1943</v>
      </c>
      <c r="G394" s="5" t="s">
        <v>167</v>
      </c>
      <c r="H394" s="5"/>
      <c r="I394" s="5" t="s">
        <v>1255</v>
      </c>
      <c r="J394" s="5" t="s">
        <v>1944</v>
      </c>
      <c r="K394" s="5" t="s">
        <v>1295</v>
      </c>
      <c r="L394" s="5"/>
      <c r="M394" t="str">
        <f>""""&amp;$C394&amp;""": "&amp;$F394&amp;IF(G394&lt;&gt;""," / "&amp;G394,"")</f>
        <v>"Standard": Standard climate (national / regional) / None</v>
      </c>
      <c r="N394" t="str">
        <f>""""&amp;$C394&amp;""" ("&amp;I394&amp;"): "&amp;$J394&amp;IF(L394&lt;&gt;""," / "&amp;L394,"")</f>
        <v>"Standard" (Standard): Standardklima (national / regional)</v>
      </c>
      <c r="O394" s="143" t="str">
        <f t="shared" ca="1" si="93"/>
        <v>'Standard','LocalLTA','LocalPeriod','Standard_LocalLTA','Standard_LocalPeriod','LocalLTA_LocalPeriod','_NA_'</v>
      </c>
    </row>
    <row r="395" spans="1:15">
      <c r="A395" s="140"/>
      <c r="B395" s="141">
        <v>2</v>
      </c>
      <c r="C395" s="5" t="s">
        <v>1945</v>
      </c>
      <c r="D395" s="141"/>
      <c r="E395" s="5" t="s">
        <v>1945</v>
      </c>
      <c r="F395" s="144" t="s">
        <v>1946</v>
      </c>
      <c r="G395" s="5" t="s">
        <v>167</v>
      </c>
      <c r="H395" s="5"/>
      <c r="I395" s="5" t="s">
        <v>1945</v>
      </c>
      <c r="J395" s="5" t="s">
        <v>1947</v>
      </c>
      <c r="K395" s="5" t="s">
        <v>1295</v>
      </c>
      <c r="L395" s="5"/>
      <c r="M395" t="str">
        <f t="shared" ref="M395:M400" si="94">""""&amp;$C395&amp;""": "&amp;$F395&amp;IF(G395&lt;&gt;""," / "&amp;G395,"")</f>
        <v>"LocalLTA": Local / long-term averages / None</v>
      </c>
      <c r="N395" t="str">
        <f t="shared" ref="N395:N400" si="95">""""&amp;$C395&amp;""" ("&amp;I395&amp;"): "&amp;$J395&amp;IF(L395&lt;&gt;""," / "&amp;L395,"")</f>
        <v>"LocalLTA" (LocalLTA): lokal, Langzeit-Mittelwert</v>
      </c>
      <c r="O395" s="143" t="str">
        <f t="shared" ca="1" si="93"/>
        <v>'LocalLTA','LocalPeriod','Standard_LocalLTA','Standard_LocalPeriod','LocalLTA_LocalPeriod','_NA_'</v>
      </c>
    </row>
    <row r="396" spans="1:15">
      <c r="A396" s="140"/>
      <c r="B396" s="141">
        <v>3</v>
      </c>
      <c r="C396" s="5" t="s">
        <v>1948</v>
      </c>
      <c r="D396" s="141"/>
      <c r="E396" s="5" t="s">
        <v>1948</v>
      </c>
      <c r="F396" s="144" t="s">
        <v>1949</v>
      </c>
      <c r="G396" s="5" t="s">
        <v>167</v>
      </c>
      <c r="H396" s="5"/>
      <c r="I396" s="5" t="s">
        <v>1948</v>
      </c>
      <c r="J396" s="5" t="s">
        <v>1950</v>
      </c>
      <c r="K396" s="5" t="s">
        <v>1295</v>
      </c>
      <c r="L396" s="5"/>
      <c r="M396" t="str">
        <f t="shared" si="94"/>
        <v>"LocalPeriod": Local / actual period / None</v>
      </c>
      <c r="N396" t="str">
        <f t="shared" si="95"/>
        <v>"LocalPeriod" (LocalPeriod): lokal, aktuelle Periode</v>
      </c>
      <c r="O396" s="143" t="str">
        <f t="shared" ca="1" si="93"/>
        <v>'LocalPeriod','Standard_LocalLTA','Standard_LocalPeriod','LocalLTA_LocalPeriod','_NA_'</v>
      </c>
    </row>
    <row r="397" spans="1:15">
      <c r="A397" s="140"/>
      <c r="B397" s="141">
        <v>4</v>
      </c>
      <c r="C397" s="5" t="s">
        <v>1951</v>
      </c>
      <c r="D397" s="141"/>
      <c r="E397" s="5" t="s">
        <v>1951</v>
      </c>
      <c r="F397" s="144" t="s">
        <v>1943</v>
      </c>
      <c r="G397" s="5" t="s">
        <v>1946</v>
      </c>
      <c r="H397" s="5"/>
      <c r="I397" s="5" t="s">
        <v>1951</v>
      </c>
      <c r="J397" s="5" t="s">
        <v>1944</v>
      </c>
      <c r="K397" s="5" t="s">
        <v>1947</v>
      </c>
      <c r="L397" s="5"/>
      <c r="M397" t="str">
        <f t="shared" si="94"/>
        <v>"Standard_LocalLTA": Standard climate (national / regional) / Local / long-term averages</v>
      </c>
      <c r="N397" t="str">
        <f t="shared" si="95"/>
        <v>"Standard_LocalLTA" (Standard_LocalLTA): Standardklima (national / regional)</v>
      </c>
      <c r="O397" s="143" t="str">
        <f t="shared" ca="1" si="93"/>
        <v>'Standard_LocalLTA','Standard_LocalPeriod','LocalLTA_LocalPeriod','_NA_'</v>
      </c>
    </row>
    <row r="398" spans="1:15">
      <c r="A398" s="140"/>
      <c r="B398" s="141">
        <v>5</v>
      </c>
      <c r="C398" s="5" t="s">
        <v>1952</v>
      </c>
      <c r="D398" s="141"/>
      <c r="E398" s="5" t="s">
        <v>1952</v>
      </c>
      <c r="F398" s="144" t="s">
        <v>1943</v>
      </c>
      <c r="G398" s="5" t="s">
        <v>1949</v>
      </c>
      <c r="H398" s="5"/>
      <c r="I398" s="5" t="s">
        <v>1952</v>
      </c>
      <c r="J398" s="5" t="s">
        <v>1944</v>
      </c>
      <c r="K398" s="5" t="s">
        <v>1950</v>
      </c>
      <c r="L398" s="5"/>
      <c r="M398" t="str">
        <f t="shared" si="94"/>
        <v>"Standard_LocalPeriod": Standard climate (national / regional) / Local / actual period</v>
      </c>
      <c r="N398" t="str">
        <f t="shared" si="95"/>
        <v>"Standard_LocalPeriod" (Standard_LocalPeriod): Standardklima (national / regional)</v>
      </c>
      <c r="O398" s="143" t="str">
        <f t="shared" ca="1" si="93"/>
        <v>'Standard_LocalPeriod','LocalLTA_LocalPeriod','_NA_'</v>
      </c>
    </row>
    <row r="399" spans="1:15">
      <c r="A399" s="140"/>
      <c r="B399" s="141">
        <v>6</v>
      </c>
      <c r="C399" s="5" t="s">
        <v>1953</v>
      </c>
      <c r="D399" s="141"/>
      <c r="E399" s="5" t="s">
        <v>1953</v>
      </c>
      <c r="F399" s="144" t="s">
        <v>1946</v>
      </c>
      <c r="G399" s="5" t="s">
        <v>1949</v>
      </c>
      <c r="H399" s="5"/>
      <c r="I399" s="5" t="s">
        <v>1953</v>
      </c>
      <c r="J399" s="5" t="s">
        <v>1947</v>
      </c>
      <c r="K399" s="5" t="s">
        <v>1950</v>
      </c>
      <c r="L399" s="5"/>
      <c r="M399" t="str">
        <f t="shared" si="94"/>
        <v>"LocalLTA_LocalPeriod": Local / long-term averages / Local / actual period</v>
      </c>
      <c r="N399" t="str">
        <f t="shared" si="95"/>
        <v>"LocalLTA_LocalPeriod" (LocalLTA_LocalPeriod): lokal, Langzeit-Mittelwert</v>
      </c>
      <c r="O399" s="143" t="str">
        <f t="shared" ca="1" si="93"/>
        <v>'LocalLTA_LocalPeriod','_NA_'</v>
      </c>
    </row>
    <row r="400" spans="1:15">
      <c r="A400" s="140"/>
      <c r="B400" s="141">
        <v>7</v>
      </c>
      <c r="C400" s="5" t="s">
        <v>41</v>
      </c>
      <c r="D400" s="141"/>
      <c r="E400" s="5" t="s">
        <v>1640</v>
      </c>
      <c r="F400" s="144"/>
      <c r="G400" s="5"/>
      <c r="H400" s="5"/>
      <c r="I400" s="5" t="s">
        <v>1641</v>
      </c>
      <c r="J400" s="5"/>
      <c r="K400" s="5"/>
      <c r="L400" s="5"/>
      <c r="M400" t="str">
        <f t="shared" si="94"/>
        <v xml:space="preserve">"_NA_": </v>
      </c>
      <c r="N400" t="str">
        <f t="shared" si="95"/>
        <v xml:space="preserve">"_NA_" (nicht definiert): </v>
      </c>
      <c r="O400" s="143" t="str">
        <f t="shared" ca="1" si="93"/>
        <v>'_NA_'</v>
      </c>
    </row>
    <row r="401" spans="1:15" ht="19.5" customHeight="1">
      <c r="A401" s="133" t="s">
        <v>1954</v>
      </c>
      <c r="B401" s="134"/>
      <c r="C401" s="135"/>
      <c r="D401" s="136">
        <v>3</v>
      </c>
      <c r="E401" s="137" t="s">
        <v>1955</v>
      </c>
      <c r="F401" s="137"/>
      <c r="G401" s="137"/>
      <c r="H401" s="137"/>
      <c r="I401" s="137" t="s">
        <v>1956</v>
      </c>
      <c r="J401" s="137"/>
      <c r="K401" s="137"/>
      <c r="L401" s="137"/>
      <c r="M401" s="138" t="str">
        <f>"Pre-defined codes:"</f>
        <v>Pre-defined codes:</v>
      </c>
      <c r="N401" s="138" t="str">
        <f>"festgelegte Codes:"</f>
        <v>festgelegte Codes:</v>
      </c>
      <c r="O401" s="143" t="str">
        <f t="shared" ca="1" si="93"/>
        <v/>
      </c>
    </row>
    <row r="402" spans="1:15" ht="20.399999999999999">
      <c r="A402" s="140"/>
      <c r="B402" s="141">
        <v>1</v>
      </c>
      <c r="C402" s="5" t="s">
        <v>1957</v>
      </c>
      <c r="D402" s="141"/>
      <c r="E402" s="5" t="s">
        <v>1958</v>
      </c>
      <c r="F402" s="144"/>
      <c r="G402" s="5"/>
      <c r="H402" s="5"/>
      <c r="I402" s="5" t="s">
        <v>1959</v>
      </c>
      <c r="J402" s="5"/>
      <c r="K402" s="5"/>
      <c r="L402" s="5"/>
      <c r="M402" t="str">
        <f>""""&amp;$C402&amp;""": "&amp;$E402&amp;IF(F402&lt;&gt;""," / "&amp;F402,"")</f>
        <v>"Correction_Temperature": Consider temperature data only</v>
      </c>
      <c r="N402" t="str">
        <f>""""&amp;$C402&amp;""": "&amp;$I402&amp;IF(J402&lt;&gt;""," / "&amp;J402,"")</f>
        <v>"Correction_Temperature": nur Berücksichtigung von Temperaturdaten</v>
      </c>
      <c r="O402" s="143" t="str">
        <f t="shared" ca="1" si="93"/>
        <v>'Correction_Temperature','Correction_Temperature_Solar','_NA_'</v>
      </c>
    </row>
    <row r="403" spans="1:15" ht="20.399999999999999">
      <c r="A403" s="140"/>
      <c r="B403" s="141">
        <v>2</v>
      </c>
      <c r="C403" s="5" t="s">
        <v>1960</v>
      </c>
      <c r="D403" s="141"/>
      <c r="E403" s="5" t="s">
        <v>1961</v>
      </c>
      <c r="F403" s="144"/>
      <c r="G403" s="5"/>
      <c r="H403" s="5"/>
      <c r="I403" s="5" t="s">
        <v>1962</v>
      </c>
      <c r="J403" s="5"/>
      <c r="K403" s="5"/>
      <c r="L403" s="5"/>
      <c r="M403" t="str">
        <f t="shared" ref="M403:M404" si="96">""""&amp;$C403&amp;""": "&amp;$E403&amp;IF(F403&lt;&gt;""," / "&amp;F403,"")</f>
        <v>"Correction_Temperature_Solar": Consider temperatures and solar radiation data</v>
      </c>
      <c r="N403" t="str">
        <f t="shared" ref="N403:N404" si="97">""""&amp;$C403&amp;""": "&amp;$I403&amp;IF(J403&lt;&gt;""," / "&amp;J403,"")</f>
        <v>"Correction_Temperature_Solar": Berücksichtigung von Temperatur- und Solarstrahlungsdaten</v>
      </c>
      <c r="O403" s="143" t="str">
        <f t="shared" ca="1" si="93"/>
        <v>'Correction_Temperature_Solar','_NA_'</v>
      </c>
    </row>
    <row r="404" spans="1:15">
      <c r="A404" s="140"/>
      <c r="B404" s="141">
        <v>3</v>
      </c>
      <c r="C404" s="5" t="s">
        <v>41</v>
      </c>
      <c r="D404" s="141"/>
      <c r="E404" s="5" t="s">
        <v>1640</v>
      </c>
      <c r="F404" s="144"/>
      <c r="G404" s="5"/>
      <c r="H404" s="5"/>
      <c r="I404" s="5" t="s">
        <v>1641</v>
      </c>
      <c r="J404" s="5"/>
      <c r="K404" s="5"/>
      <c r="L404" s="5"/>
      <c r="M404" t="str">
        <f t="shared" si="96"/>
        <v>"_NA_": Not defined</v>
      </c>
      <c r="N404" t="str">
        <f t="shared" si="97"/>
        <v>"_NA_": nicht definiert</v>
      </c>
      <c r="O404" s="143" t="str">
        <f t="shared" ca="1" si="93"/>
        <v>'_NA_'</v>
      </c>
    </row>
    <row r="405" spans="1:15" ht="19.5" customHeight="1">
      <c r="A405" s="133" t="s">
        <v>1963</v>
      </c>
      <c r="B405" s="134"/>
      <c r="C405" s="135"/>
      <c r="D405" s="136">
        <v>3</v>
      </c>
      <c r="E405" s="137" t="s">
        <v>1964</v>
      </c>
      <c r="F405" s="137"/>
      <c r="G405" s="137"/>
      <c r="H405" s="137"/>
      <c r="I405" s="137" t="s">
        <v>1965</v>
      </c>
      <c r="J405" s="137"/>
      <c r="K405" s="137"/>
      <c r="L405" s="137"/>
      <c r="M405" s="138" t="str">
        <f>"Pre-defined codes:"</f>
        <v>Pre-defined codes:</v>
      </c>
      <c r="N405" s="138" t="str">
        <f>"festgelegte Codes:"</f>
        <v>festgelegte Codes:</v>
      </c>
      <c r="O405" s="143" t="str">
        <f t="shared" ca="1" si="93"/>
        <v/>
      </c>
    </row>
    <row r="406" spans="1:15" ht="20.399999999999999">
      <c r="A406" s="140"/>
      <c r="B406" s="141">
        <v>1</v>
      </c>
      <c r="C406" s="5" t="s">
        <v>188</v>
      </c>
      <c r="D406" s="141"/>
      <c r="E406" s="5" t="s">
        <v>1966</v>
      </c>
      <c r="F406" s="144"/>
      <c r="G406" s="5"/>
      <c r="H406" s="5"/>
      <c r="I406" s="5" t="s">
        <v>1967</v>
      </c>
      <c r="J406" s="5"/>
      <c r="K406" s="5"/>
      <c r="L406" s="5"/>
      <c r="M406" t="str">
        <f>""""&amp;$C406&amp;""": "&amp;$E406&amp;IF(F406&lt;&gt;""," / "&amp;F406,"")</f>
        <v>"Functional": Functional selection based on country code</v>
      </c>
      <c r="N406" t="str">
        <f>""""&amp;$C406&amp;""": "&amp;$I406&amp;IF(J406&lt;&gt;""," / "&amp;J406,"")</f>
        <v>"Functional": Funktionale Auswahl auf der Basis des Ländercodes</v>
      </c>
      <c r="O406" s="143" t="str">
        <f t="shared" ca="1" si="93"/>
        <v>'Functional','Manual','_NA_'</v>
      </c>
    </row>
    <row r="407" spans="1:15">
      <c r="A407" s="140"/>
      <c r="B407" s="141">
        <v>2</v>
      </c>
      <c r="C407" s="5" t="s">
        <v>189</v>
      </c>
      <c r="D407" s="141"/>
      <c r="E407" s="5" t="s">
        <v>1968</v>
      </c>
      <c r="F407" s="144"/>
      <c r="G407" s="5"/>
      <c r="H407" s="5"/>
      <c r="I407" s="5" t="s">
        <v>1969</v>
      </c>
      <c r="J407" s="5"/>
      <c r="K407" s="5"/>
      <c r="L407" s="5"/>
      <c r="M407" t="str">
        <f t="shared" ref="M407:M408" si="98">""""&amp;$C407&amp;""": "&amp;$E407&amp;IF(F407&lt;&gt;""," / "&amp;F407,"")</f>
        <v>"Manual": Manual input</v>
      </c>
      <c r="N407" t="str">
        <f t="shared" ref="N407:N408" si="99">""""&amp;$C407&amp;""": "&amp;$I407&amp;IF(J407&lt;&gt;""," / "&amp;J407,"")</f>
        <v>"Manual": Manuelle Eingabe</v>
      </c>
      <c r="O407" s="143" t="str">
        <f t="shared" ca="1" si="93"/>
        <v>'Manual','_NA_'</v>
      </c>
    </row>
    <row r="408" spans="1:15">
      <c r="A408" s="140"/>
      <c r="B408" s="141">
        <v>3</v>
      </c>
      <c r="C408" s="5" t="s">
        <v>41</v>
      </c>
      <c r="D408" s="141"/>
      <c r="E408" s="5" t="s">
        <v>1640</v>
      </c>
      <c r="F408" s="144"/>
      <c r="G408" s="5"/>
      <c r="H408" s="5"/>
      <c r="I408" s="5" t="s">
        <v>1641</v>
      </c>
      <c r="J408" s="5"/>
      <c r="K408" s="5"/>
      <c r="L408" s="5"/>
      <c r="M408" t="str">
        <f t="shared" si="98"/>
        <v>"_NA_": Not defined</v>
      </c>
      <c r="N408" t="str">
        <f t="shared" si="99"/>
        <v>"_NA_": nicht definiert</v>
      </c>
      <c r="O408" s="143" t="str">
        <f t="shared" ca="1" si="93"/>
        <v>'_NA_'</v>
      </c>
    </row>
    <row r="409" spans="1:15" ht="19.5" customHeight="1">
      <c r="A409" s="133" t="s">
        <v>1970</v>
      </c>
      <c r="B409" s="134"/>
      <c r="C409" s="135"/>
      <c r="D409" s="136">
        <v>6</v>
      </c>
      <c r="E409" s="137" t="s">
        <v>1971</v>
      </c>
      <c r="F409" s="137"/>
      <c r="G409" s="137"/>
      <c r="H409" s="137"/>
      <c r="I409" s="137" t="s">
        <v>1972</v>
      </c>
      <c r="J409" s="137"/>
      <c r="K409" s="137"/>
      <c r="L409" s="137"/>
      <c r="M409" s="138" t="str">
        <f>"Pre-defined codes:"</f>
        <v>Pre-defined codes:</v>
      </c>
      <c r="N409" s="138" t="str">
        <f>"festgelegte Codes:"</f>
        <v>festgelegte Codes:</v>
      </c>
      <c r="O409" s="143" t="str">
        <f t="shared" ca="1" si="93"/>
        <v/>
      </c>
    </row>
    <row r="410" spans="1:15">
      <c r="A410" s="140"/>
      <c r="B410" s="141">
        <v>1</v>
      </c>
      <c r="C410" s="5" t="s">
        <v>1973</v>
      </c>
      <c r="D410" s="141"/>
      <c r="E410" s="5" t="s">
        <v>1974</v>
      </c>
      <c r="F410" s="144"/>
      <c r="G410" s="5"/>
      <c r="H410" s="5"/>
      <c r="I410" s="5" t="s">
        <v>1975</v>
      </c>
      <c r="J410" s="5"/>
      <c r="K410" s="5"/>
      <c r="L410" s="5"/>
      <c r="M410" t="str">
        <f t="shared" ref="M410:M415" si="100">""""&amp;$C410&amp;""": "&amp;$E410&amp;IF(F410&lt;&gt;""," / "&amp;F410,"")</f>
        <v>"DE.N": Standard climate Germany (Potsdam)</v>
      </c>
      <c r="N410" t="str">
        <f t="shared" ref="N410:N415" si="101">""""&amp;$C410&amp;""": "&amp;$I410&amp;IF(J410&lt;&gt;""," / "&amp;J410,"")</f>
        <v>"DE.N": Standardklima Deutschland (Potsdam)</v>
      </c>
      <c r="O410" s="143" t="str">
        <f t="shared" ca="1" si="93"/>
        <v>'DE.N','_NA_'</v>
      </c>
    </row>
    <row r="411" spans="1:15">
      <c r="A411" s="140"/>
      <c r="B411" s="141">
        <v>2</v>
      </c>
      <c r="C411" s="5" t="s">
        <v>41</v>
      </c>
      <c r="D411" s="141"/>
      <c r="E411" s="5" t="s">
        <v>1640</v>
      </c>
      <c r="F411" s="144"/>
      <c r="G411" s="5"/>
      <c r="H411" s="5"/>
      <c r="I411" s="5" t="s">
        <v>1641</v>
      </c>
      <c r="J411" s="5"/>
      <c r="K411" s="5"/>
      <c r="L411" s="5"/>
      <c r="M411" t="str">
        <f t="shared" si="100"/>
        <v>"_NA_": Not defined</v>
      </c>
      <c r="N411" t="str">
        <f t="shared" si="101"/>
        <v>"_NA_": nicht definiert</v>
      </c>
      <c r="O411" s="143" t="str">
        <f t="shared" ref="O411:O453" ca="1" si="102">IF(C411&lt;&gt;"","'"&amp;C411&amp;"'"&amp;IF(OFFSET(O411,1,0)&lt;&gt;"",","&amp;OFFSET(O411,1,0),""),"")</f>
        <v>'_NA_'</v>
      </c>
    </row>
    <row r="412" spans="1:15">
      <c r="A412" s="140"/>
      <c r="B412" s="141">
        <v>3</v>
      </c>
      <c r="C412" s="5"/>
      <c r="D412" s="141"/>
      <c r="E412" s="5"/>
      <c r="F412" s="144"/>
      <c r="G412" s="5"/>
      <c r="H412" s="5"/>
      <c r="I412" s="5"/>
      <c r="J412" s="5"/>
      <c r="K412" s="5"/>
      <c r="L412" s="5"/>
      <c r="M412" t="str">
        <f t="shared" si="100"/>
        <v xml:space="preserve">"": </v>
      </c>
      <c r="N412" t="str">
        <f t="shared" si="101"/>
        <v xml:space="preserve">"": </v>
      </c>
      <c r="O412" s="143" t="str">
        <f t="shared" ca="1" si="102"/>
        <v/>
      </c>
    </row>
    <row r="413" spans="1:15">
      <c r="A413" s="140"/>
      <c r="B413" s="141">
        <v>4</v>
      </c>
      <c r="C413" s="5"/>
      <c r="D413" s="141"/>
      <c r="E413" s="5"/>
      <c r="F413" s="144"/>
      <c r="G413" s="5"/>
      <c r="H413" s="5"/>
      <c r="I413" s="5"/>
      <c r="J413" s="5"/>
      <c r="K413" s="5"/>
      <c r="L413" s="5"/>
      <c r="M413" t="str">
        <f t="shared" si="100"/>
        <v xml:space="preserve">"": </v>
      </c>
      <c r="N413" t="str">
        <f t="shared" si="101"/>
        <v xml:space="preserve">"": </v>
      </c>
      <c r="O413" s="143" t="str">
        <f t="shared" ca="1" si="102"/>
        <v/>
      </c>
    </row>
    <row r="414" spans="1:15">
      <c r="A414" s="140"/>
      <c r="B414" s="141">
        <v>5</v>
      </c>
      <c r="C414" s="5"/>
      <c r="D414" s="141"/>
      <c r="E414" s="5"/>
      <c r="F414" s="144"/>
      <c r="G414" s="5"/>
      <c r="H414" s="5"/>
      <c r="I414" s="5"/>
      <c r="J414" s="5"/>
      <c r="K414" s="5"/>
      <c r="L414" s="5"/>
      <c r="M414" t="str">
        <f t="shared" si="100"/>
        <v xml:space="preserve">"": </v>
      </c>
      <c r="N414" t="str">
        <f t="shared" si="101"/>
        <v xml:space="preserve">"": </v>
      </c>
      <c r="O414" s="143" t="str">
        <f t="shared" ca="1" si="102"/>
        <v/>
      </c>
    </row>
    <row r="415" spans="1:15">
      <c r="A415" s="140"/>
      <c r="B415" s="141">
        <v>6</v>
      </c>
      <c r="C415" s="5"/>
      <c r="D415" s="141"/>
      <c r="E415" s="5"/>
      <c r="F415" s="144"/>
      <c r="G415" s="5"/>
      <c r="H415" s="5"/>
      <c r="I415" s="5"/>
      <c r="J415" s="5"/>
      <c r="K415" s="5"/>
      <c r="L415" s="5"/>
      <c r="M415" t="str">
        <f t="shared" si="100"/>
        <v xml:space="preserve">"": </v>
      </c>
      <c r="N415" t="str">
        <f t="shared" si="101"/>
        <v xml:space="preserve">"": </v>
      </c>
      <c r="O415" s="143" t="str">
        <f t="shared" ca="1" si="102"/>
        <v/>
      </c>
    </row>
    <row r="416" spans="1:15" ht="19.5" customHeight="1">
      <c r="A416" s="133" t="s">
        <v>1976</v>
      </c>
      <c r="B416" s="134"/>
      <c r="C416" s="135"/>
      <c r="D416" s="136">
        <v>4</v>
      </c>
      <c r="E416" s="137" t="s">
        <v>1977</v>
      </c>
      <c r="F416" s="137"/>
      <c r="G416" s="137"/>
      <c r="H416" s="137"/>
      <c r="I416" s="137" t="s">
        <v>1978</v>
      </c>
      <c r="J416" s="137"/>
      <c r="K416" s="137"/>
      <c r="L416" s="137"/>
      <c r="M416" s="138" t="str">
        <f>"Pre-defined codes:"</f>
        <v>Pre-defined codes:</v>
      </c>
      <c r="N416" s="138" t="str">
        <f>"festgelegte Codes:"</f>
        <v>festgelegte Codes:</v>
      </c>
      <c r="O416" s="143" t="str">
        <f t="shared" ca="1" si="102"/>
        <v/>
      </c>
    </row>
    <row r="417" spans="1:15" ht="20.399999999999999">
      <c r="A417" s="140"/>
      <c r="B417" s="141">
        <v>1</v>
      </c>
      <c r="C417" s="5" t="s">
        <v>188</v>
      </c>
      <c r="D417" s="141"/>
      <c r="E417" s="5" t="s">
        <v>1979</v>
      </c>
      <c r="F417" s="144"/>
      <c r="G417" s="5"/>
      <c r="H417" s="5"/>
      <c r="I417" s="5" t="s">
        <v>1980</v>
      </c>
      <c r="J417" s="5"/>
      <c r="K417" s="5"/>
      <c r="L417" s="5"/>
      <c r="M417" t="str">
        <f t="shared" ref="M417:M420" si="103">""""&amp;$C417&amp;""": "&amp;$E417&amp;IF(F417&lt;&gt;""," / "&amp;F417,"")</f>
        <v>"Functional": Functional selection based on postcode</v>
      </c>
      <c r="N417" t="str">
        <f t="shared" ref="N417:N420" si="104">""""&amp;$C417&amp;""": "&amp;$I417&amp;IF(J417&lt;&gt;""," / "&amp;J417,"")</f>
        <v>"Functional": Funktionale Auswahl auf der Basis der Postleitzahl</v>
      </c>
      <c r="O417" s="143" t="str">
        <f t="shared" ca="1" si="102"/>
        <v>'Functional','Manual_LocationID','Manual_ClimateID','_NA_'</v>
      </c>
    </row>
    <row r="418" spans="1:15">
      <c r="A418" s="140"/>
      <c r="B418" s="141">
        <v>2</v>
      </c>
      <c r="C418" s="5" t="s">
        <v>1981</v>
      </c>
      <c r="D418" s="141"/>
      <c r="E418" s="5" t="s">
        <v>1982</v>
      </c>
      <c r="F418" s="144"/>
      <c r="G418" s="5"/>
      <c r="H418" s="5"/>
      <c r="I418" s="5" t="s">
        <v>1983</v>
      </c>
      <c r="J418" s="5"/>
      <c r="K418" s="5"/>
      <c r="L418" s="5"/>
      <c r="M418" t="str">
        <f t="shared" si="103"/>
        <v>"Manual_LocationID": Manual input location ID</v>
      </c>
      <c r="N418" t="str">
        <f t="shared" si="104"/>
        <v>"Manual_LocationID": Manuelle Eingabe Standort-ID</v>
      </c>
      <c r="O418" s="143" t="str">
        <f t="shared" ca="1" si="102"/>
        <v>'Manual_LocationID','Manual_ClimateID','_NA_'</v>
      </c>
    </row>
    <row r="419" spans="1:15">
      <c r="A419" s="140"/>
      <c r="B419" s="141">
        <v>3</v>
      </c>
      <c r="C419" s="5" t="s">
        <v>1984</v>
      </c>
      <c r="D419" s="141"/>
      <c r="E419" s="5" t="s">
        <v>1985</v>
      </c>
      <c r="F419" s="144"/>
      <c r="G419" s="5"/>
      <c r="H419" s="5"/>
      <c r="I419" s="5" t="s">
        <v>1986</v>
      </c>
      <c r="J419" s="5"/>
      <c r="K419" s="5"/>
      <c r="L419" s="5"/>
      <c r="M419" t="str">
        <f t="shared" si="103"/>
        <v>"Manual_ClimateID": Manual input climate ID</v>
      </c>
      <c r="N419" t="str">
        <f t="shared" si="104"/>
        <v>"Manual_ClimateID": Manuelle Eingabe Klima-ID</v>
      </c>
      <c r="O419" s="143" t="str">
        <f t="shared" ca="1" si="102"/>
        <v>'Manual_ClimateID','_NA_'</v>
      </c>
    </row>
    <row r="420" spans="1:15">
      <c r="A420" s="140"/>
      <c r="B420" s="141">
        <v>4</v>
      </c>
      <c r="C420" s="5" t="s">
        <v>41</v>
      </c>
      <c r="D420" s="141"/>
      <c r="E420" s="5" t="s">
        <v>1640</v>
      </c>
      <c r="F420" s="144"/>
      <c r="G420" s="5"/>
      <c r="H420" s="5"/>
      <c r="I420" s="5" t="s">
        <v>1641</v>
      </c>
      <c r="J420" s="5"/>
      <c r="K420" s="5"/>
      <c r="L420" s="5"/>
      <c r="M420" t="str">
        <f t="shared" si="103"/>
        <v>"_NA_": Not defined</v>
      </c>
      <c r="N420" t="str">
        <f t="shared" si="104"/>
        <v>"_NA_": nicht definiert</v>
      </c>
      <c r="O420" s="143" t="str">
        <f t="shared" ca="1" si="102"/>
        <v>'_NA_'</v>
      </c>
    </row>
    <row r="421" spans="1:15" ht="19.5" customHeight="1">
      <c r="A421" s="133" t="s">
        <v>1987</v>
      </c>
      <c r="B421" s="134"/>
      <c r="C421" s="135"/>
      <c r="D421" s="136">
        <v>3</v>
      </c>
      <c r="E421" s="137" t="s">
        <v>1988</v>
      </c>
      <c r="F421" s="137"/>
      <c r="G421" s="137"/>
      <c r="H421" s="137"/>
      <c r="I421" s="137" t="s">
        <v>1989</v>
      </c>
      <c r="J421" s="137"/>
      <c r="K421" s="137"/>
      <c r="L421" s="137"/>
      <c r="M421" s="138" t="str">
        <f>"Pre-defined codes:"</f>
        <v>Pre-defined codes:</v>
      </c>
      <c r="N421" s="138" t="str">
        <f>"festgelegte Codes:"</f>
        <v>festgelegte Codes:</v>
      </c>
      <c r="O421" s="143" t="str">
        <f t="shared" ca="1" si="102"/>
        <v/>
      </c>
    </row>
    <row r="422" spans="1:15" ht="20.399999999999999">
      <c r="A422" s="140"/>
      <c r="B422" s="141">
        <v>1</v>
      </c>
      <c r="C422" s="5" t="s">
        <v>188</v>
      </c>
      <c r="D422" s="141"/>
      <c r="E422" s="5" t="s">
        <v>1990</v>
      </c>
      <c r="F422" s="144"/>
      <c r="G422" s="5"/>
      <c r="H422" s="5"/>
      <c r="I422" s="5" t="s">
        <v>1991</v>
      </c>
      <c r="J422" s="5"/>
      <c r="K422" s="5"/>
      <c r="L422" s="5"/>
      <c r="M422" t="str">
        <f t="shared" ref="M422:M424" si="105">""""&amp;$C422&amp;""": "&amp;$E422&amp;IF(F422&lt;&gt;""," / "&amp;F422,"")</f>
        <v>"Functional": Functional selection based on metering period</v>
      </c>
      <c r="N422" t="str">
        <f t="shared" ref="N422:N424" si="106">""""&amp;$C422&amp;""": "&amp;$I422&amp;IF(J422&lt;&gt;""," / "&amp;J422,"")</f>
        <v>"Functional": Funktionale Auswahl auf der Basis des Verbrauchszeitraums</v>
      </c>
      <c r="O422" s="143" t="str">
        <f t="shared" ca="1" si="102"/>
        <v>'Functional','Manual','_NA_'</v>
      </c>
    </row>
    <row r="423" spans="1:15">
      <c r="A423" s="140"/>
      <c r="B423" s="141">
        <v>2</v>
      </c>
      <c r="C423" s="5" t="s">
        <v>189</v>
      </c>
      <c r="D423" s="141"/>
      <c r="E423" s="5" t="s">
        <v>1992</v>
      </c>
      <c r="F423" s="144"/>
      <c r="G423" s="5"/>
      <c r="H423" s="5"/>
      <c r="I423" s="5" t="s">
        <v>1993</v>
      </c>
      <c r="J423" s="5"/>
      <c r="K423" s="5"/>
      <c r="L423" s="5"/>
      <c r="M423" t="str">
        <f t="shared" si="105"/>
        <v>"Manual": Manual input of the period</v>
      </c>
      <c r="N423" t="str">
        <f t="shared" si="106"/>
        <v>"Manual": Manuelle Eingabe des Zeitraums</v>
      </c>
      <c r="O423" s="143" t="str">
        <f t="shared" ca="1" si="102"/>
        <v>'Manual','_NA_'</v>
      </c>
    </row>
    <row r="424" spans="1:15">
      <c r="A424" s="140"/>
      <c r="B424" s="141">
        <v>3</v>
      </c>
      <c r="C424" s="5" t="s">
        <v>41</v>
      </c>
      <c r="D424" s="141"/>
      <c r="E424" s="5" t="s">
        <v>1640</v>
      </c>
      <c r="F424" s="144"/>
      <c r="G424" s="5"/>
      <c r="H424" s="5"/>
      <c r="I424" s="5" t="s">
        <v>1641</v>
      </c>
      <c r="J424" s="5"/>
      <c r="K424" s="5"/>
      <c r="L424" s="5"/>
      <c r="M424" t="str">
        <f t="shared" si="105"/>
        <v>"_NA_": Not defined</v>
      </c>
      <c r="N424" t="str">
        <f t="shared" si="106"/>
        <v>"_NA_": nicht definiert</v>
      </c>
      <c r="O424" s="143" t="str">
        <f t="shared" ca="1" si="102"/>
        <v>'_NA_'</v>
      </c>
    </row>
    <row r="425" spans="1:15" ht="19.5" customHeight="1">
      <c r="A425" s="133" t="s">
        <v>1994</v>
      </c>
      <c r="B425" s="134"/>
      <c r="C425" s="135"/>
      <c r="D425" s="136">
        <v>5</v>
      </c>
      <c r="E425" s="137" t="s">
        <v>1995</v>
      </c>
      <c r="F425" s="137"/>
      <c r="G425" s="137"/>
      <c r="H425" s="137"/>
      <c r="I425" s="137" t="s">
        <v>1996</v>
      </c>
      <c r="J425" s="137"/>
      <c r="K425" s="137"/>
      <c r="L425" s="137"/>
      <c r="M425" s="138" t="str">
        <f>"Pre-defined codes:"</f>
        <v>Pre-defined codes:</v>
      </c>
      <c r="N425" s="138" t="str">
        <f>"festgelegte Codes:"</f>
        <v>festgelegte Codes:</v>
      </c>
      <c r="O425" s="143" t="str">
        <f t="shared" ca="1" si="102"/>
        <v/>
      </c>
    </row>
    <row r="426" spans="1:15">
      <c r="A426" s="140"/>
      <c r="B426" s="141">
        <v>1</v>
      </c>
      <c r="C426" s="5" t="s">
        <v>1997</v>
      </c>
      <c r="D426" s="141"/>
      <c r="E426" s="5" t="s">
        <v>1998</v>
      </c>
      <c r="F426" s="144"/>
      <c r="G426" s="5"/>
      <c r="H426" s="5"/>
      <c r="I426" s="5" t="s">
        <v>1999</v>
      </c>
      <c r="J426" s="5"/>
      <c r="K426" s="5"/>
      <c r="L426" s="5"/>
      <c r="M426" t="str">
        <f t="shared" ref="M426:M430" si="107">""""&amp;$C426&amp;""": "&amp;$E426&amp;IF(F426&lt;&gt;""," / "&amp;F426,"")</f>
        <v>"Questionnaire": Questionnaire (query variables)</v>
      </c>
      <c r="N426" t="str">
        <f t="shared" ref="N426:N430" si="108">""""&amp;$C426&amp;""": "&amp;$I426&amp;IF(J426&lt;&gt;""," / "&amp;J426,"")</f>
        <v>"Questionnaire": Fragebogen (Erhebungsvariablen)</v>
      </c>
      <c r="O426" s="143" t="str">
        <f t="shared" ca="1" si="102"/>
        <v>'Questionnaire','CalcInputLibrary','CalcInputIndividual','AccordingToAvailability','_NA_'</v>
      </c>
    </row>
    <row r="427" spans="1:15" ht="20.399999999999999">
      <c r="A427" s="140"/>
      <c r="B427" s="141">
        <v>2</v>
      </c>
      <c r="C427" s="5" t="s">
        <v>2000</v>
      </c>
      <c r="D427" s="141"/>
      <c r="E427" s="5" t="s">
        <v>2001</v>
      </c>
      <c r="F427" s="144"/>
      <c r="G427" s="5"/>
      <c r="H427" s="5"/>
      <c r="I427" s="5" t="s">
        <v>2002</v>
      </c>
      <c r="J427" s="5"/>
      <c r="K427" s="5"/>
      <c r="L427" s="5"/>
      <c r="M427" t="str">
        <f t="shared" si="107"/>
        <v>"CalcInputLibrary": Energy balance input variables, pre-defined values</v>
      </c>
      <c r="N427" t="str">
        <f t="shared" si="108"/>
        <v>"CalcInputLibrary": Energiebilanz-Eingangsvariablen, vordefiniert</v>
      </c>
      <c r="O427" s="143" t="str">
        <f t="shared" ca="1" si="102"/>
        <v>'CalcInputLibrary','CalcInputIndividual','AccordingToAvailability','_NA_'</v>
      </c>
    </row>
    <row r="428" spans="1:15" ht="20.399999999999999">
      <c r="A428" s="140"/>
      <c r="B428" s="141">
        <v>3</v>
      </c>
      <c r="C428" s="5" t="s">
        <v>2003</v>
      </c>
      <c r="D428" s="141"/>
      <c r="E428" s="5" t="s">
        <v>2004</v>
      </c>
      <c r="F428" s="144"/>
      <c r="G428" s="5"/>
      <c r="H428" s="5"/>
      <c r="I428" s="5" t="s">
        <v>2005</v>
      </c>
      <c r="J428" s="5"/>
      <c r="K428" s="5"/>
      <c r="L428" s="5"/>
      <c r="M428" t="str">
        <f t="shared" si="107"/>
        <v>"CalcInputIndividual": Energy balance input variables, individual input</v>
      </c>
      <c r="N428" t="str">
        <f t="shared" si="108"/>
        <v>"CalcInputIndividual": Energiebilanz-Eingangsvariablen, individuelle Eingabe</v>
      </c>
      <c r="O428" s="143" t="str">
        <f t="shared" ca="1" si="102"/>
        <v>'CalcInputIndividual','AccordingToAvailability','_NA_'</v>
      </c>
    </row>
    <row r="429" spans="1:15" ht="30.6">
      <c r="A429" s="140"/>
      <c r="B429" s="141">
        <v>4</v>
      </c>
      <c r="C429" s="5" t="s">
        <v>2006</v>
      </c>
      <c r="D429" s="141"/>
      <c r="E429" s="5" t="s">
        <v>2007</v>
      </c>
      <c r="F429" s="144"/>
      <c r="G429" s="5"/>
      <c r="H429" s="5"/>
      <c r="I429" s="5" t="s">
        <v>2008</v>
      </c>
      <c r="J429" s="5"/>
      <c r="K429" s="5"/>
      <c r="L429" s="5"/>
      <c r="M429" t="str">
        <f t="shared" si="107"/>
        <v>"AccordingToAvailability": Questionnaire input, if available, otherwise: energy balance input values</v>
      </c>
      <c r="N429" t="str">
        <f t="shared" si="108"/>
        <v>"AccordingToAvailability": Fragebogen-Eingaben, wenn vorhanden, sonst: Energiebilanz-Eingangsvariablen</v>
      </c>
      <c r="O429" s="143" t="str">
        <f t="shared" ca="1" si="102"/>
        <v>'AccordingToAvailability','_NA_'</v>
      </c>
    </row>
    <row r="430" spans="1:15">
      <c r="A430" s="140"/>
      <c r="B430" s="141">
        <v>5</v>
      </c>
      <c r="C430" s="5" t="s">
        <v>41</v>
      </c>
      <c r="D430" s="141"/>
      <c r="E430" s="5" t="s">
        <v>1640</v>
      </c>
      <c r="F430" s="144"/>
      <c r="G430" s="5"/>
      <c r="H430" s="5"/>
      <c r="I430" s="5" t="s">
        <v>1641</v>
      </c>
      <c r="J430" s="5"/>
      <c r="K430" s="5"/>
      <c r="L430" s="5"/>
      <c r="M430" t="str">
        <f t="shared" si="107"/>
        <v>"_NA_": Not defined</v>
      </c>
      <c r="N430" t="str">
        <f t="shared" si="108"/>
        <v>"_NA_": nicht definiert</v>
      </c>
      <c r="O430" s="143" t="str">
        <f t="shared" ca="1" si="102"/>
        <v>'_NA_'</v>
      </c>
    </row>
    <row r="431" spans="1:15" ht="19.5" customHeight="1">
      <c r="A431" s="133" t="s">
        <v>2009</v>
      </c>
      <c r="B431" s="134"/>
      <c r="C431" s="135"/>
      <c r="D431" s="136">
        <v>3</v>
      </c>
      <c r="E431" s="137" t="s">
        <v>2010</v>
      </c>
      <c r="F431" s="137"/>
      <c r="G431" s="137"/>
      <c r="H431" s="137"/>
      <c r="I431" s="137" t="s">
        <v>2011</v>
      </c>
      <c r="J431" s="137"/>
      <c r="K431" s="137"/>
      <c r="L431" s="137"/>
      <c r="M431" s="138" t="str">
        <f>"Pre-defined codes:"</f>
        <v>Pre-defined codes:</v>
      </c>
      <c r="N431" s="138" t="str">
        <f>"festgelegte Codes:"</f>
        <v>festgelegte Codes:</v>
      </c>
      <c r="O431" s="143" t="str">
        <f t="shared" ca="1" si="102"/>
        <v/>
      </c>
    </row>
    <row r="432" spans="1:15" ht="20.399999999999999">
      <c r="A432" s="140"/>
      <c r="B432" s="141">
        <v>1</v>
      </c>
      <c r="C432" s="5" t="s">
        <v>188</v>
      </c>
      <c r="D432" s="141"/>
      <c r="E432" s="5" t="s">
        <v>188</v>
      </c>
      <c r="F432" s="5" t="s">
        <v>2012</v>
      </c>
      <c r="G432" s="5"/>
      <c r="H432" s="5"/>
      <c r="I432" s="5" t="s">
        <v>2013</v>
      </c>
      <c r="J432" s="5" t="s">
        <v>2014</v>
      </c>
      <c r="K432" s="5"/>
      <c r="L432" s="5"/>
      <c r="M432" t="str">
        <f t="shared" ref="M432:M434" si="109">""""&amp;$C432&amp;""": "&amp;$E432&amp;IF(F432&lt;&gt;""," / "&amp;F432,"")</f>
        <v>"Functional": Functional / Calculation based on monitoring indicators (energy profile indicators)</v>
      </c>
      <c r="N432" t="str">
        <f t="shared" ref="N432:N434" si="110">""""&amp;$C432&amp;""": "&amp;$I432&amp;IF(J432&lt;&gt;""," / "&amp;J432,"")</f>
        <v>"Functional": funktional / Berechnung basiert auf Monitoring-Indikatoren (Energieprofil-Indikatoren)</v>
      </c>
      <c r="O432" s="143" t="str">
        <f t="shared" ca="1" si="102"/>
        <v>'Functional','Manual','_NA_'</v>
      </c>
    </row>
    <row r="433" spans="1:15">
      <c r="A433" s="140"/>
      <c r="B433" s="141">
        <v>2</v>
      </c>
      <c r="C433" s="5" t="s">
        <v>189</v>
      </c>
      <c r="D433" s="141"/>
      <c r="E433" s="5" t="s">
        <v>189</v>
      </c>
      <c r="F433" s="5" t="s">
        <v>2015</v>
      </c>
      <c r="G433" s="5"/>
      <c r="H433" s="5"/>
      <c r="I433" s="5" t="s">
        <v>2016</v>
      </c>
      <c r="J433" s="5" t="s">
        <v>2017</v>
      </c>
      <c r="K433" s="5"/>
      <c r="L433" s="5"/>
      <c r="M433" t="str">
        <f t="shared" si="109"/>
        <v>"Manual": Manual / Direct manual input</v>
      </c>
      <c r="N433" t="str">
        <f t="shared" si="110"/>
        <v>"Manual": manuell / direkte manueller Eingabe</v>
      </c>
      <c r="O433" s="143" t="str">
        <f t="shared" ca="1" si="102"/>
        <v>'Manual','_NA_'</v>
      </c>
    </row>
    <row r="434" spans="1:15">
      <c r="A434" s="140"/>
      <c r="B434" s="141">
        <v>3</v>
      </c>
      <c r="C434" s="5" t="s">
        <v>41</v>
      </c>
      <c r="D434" s="141"/>
      <c r="E434" s="5" t="s">
        <v>1640</v>
      </c>
      <c r="F434" s="5" t="s">
        <v>2018</v>
      </c>
      <c r="G434" s="5"/>
      <c r="H434" s="5"/>
      <c r="I434" s="5" t="s">
        <v>1641</v>
      </c>
      <c r="J434" s="5" t="s">
        <v>2019</v>
      </c>
      <c r="K434" s="5"/>
      <c r="L434" s="5"/>
      <c r="M434" t="str">
        <f t="shared" si="109"/>
        <v>"_NA_": Not defined / Not available / not defined</v>
      </c>
      <c r="N434" t="str">
        <f t="shared" si="110"/>
        <v>"_NA_": nicht definiert / keine Angabe / nicht definiert</v>
      </c>
      <c r="O434" s="143" t="str">
        <f t="shared" ca="1" si="102"/>
        <v>'_NA_'</v>
      </c>
    </row>
    <row r="435" spans="1:15" ht="19.5" customHeight="1">
      <c r="A435" s="133" t="s">
        <v>2020</v>
      </c>
      <c r="B435" s="134"/>
      <c r="C435" s="135"/>
      <c r="D435" s="136">
        <v>18</v>
      </c>
      <c r="E435" s="137"/>
      <c r="F435" s="137"/>
      <c r="G435" s="137"/>
      <c r="H435" s="137"/>
      <c r="I435" s="137"/>
      <c r="J435" s="137"/>
      <c r="K435" s="137"/>
      <c r="L435" s="137"/>
      <c r="M435" s="138" t="str">
        <f>"Pre-defined codes:"</f>
        <v>Pre-defined codes:</v>
      </c>
      <c r="N435" s="138" t="str">
        <f>"festgelegte Codes:"</f>
        <v>festgelegte Codes:</v>
      </c>
      <c r="O435" s="143" t="str">
        <f t="shared" ca="1" si="102"/>
        <v/>
      </c>
    </row>
    <row r="436" spans="1:15">
      <c r="A436" s="140"/>
      <c r="B436" s="141">
        <v>1</v>
      </c>
      <c r="C436" s="5" t="s">
        <v>2021</v>
      </c>
      <c r="D436" s="141"/>
      <c r="E436" s="5" t="s">
        <v>2021</v>
      </c>
      <c r="F436" s="5"/>
      <c r="G436" s="5"/>
      <c r="H436" s="5"/>
      <c r="I436" s="5" t="s">
        <v>2022</v>
      </c>
      <c r="J436" s="5"/>
      <c r="K436" s="5"/>
      <c r="L436" s="5"/>
      <c r="M436" t="str">
        <f t="shared" ref="M436:M453" si="111">""""&amp;$C436&amp;""": "&amp;$E436&amp;IF(F436&lt;&gt;""," / "&amp;F436,"")</f>
        <v>"East": East</v>
      </c>
      <c r="N436" t="str">
        <f t="shared" ref="N436:N453" si="112">""""&amp;$C436&amp;""": "&amp;$I436&amp;IF(J436&lt;&gt;""," / "&amp;J436,"")</f>
        <v>"East": Ost</v>
      </c>
      <c r="O436" s="143" t="str">
        <f t="shared" ca="1" si="102"/>
        <v>'East','SouthEast','South','SouthWest','West','NorthWest','North','NorthEast','East','SouthEast','South','SouthWest','West','NorthWest','North','NorthEast','-','_NA_'</v>
      </c>
    </row>
    <row r="437" spans="1:15">
      <c r="A437" s="140"/>
      <c r="B437" s="141">
        <v>2</v>
      </c>
      <c r="C437" s="5" t="s">
        <v>2023</v>
      </c>
      <c r="D437" s="141"/>
      <c r="E437" s="5" t="s">
        <v>2024</v>
      </c>
      <c r="F437" s="5"/>
      <c r="G437" s="5"/>
      <c r="H437" s="5"/>
      <c r="I437" s="5" t="s">
        <v>2025</v>
      </c>
      <c r="J437" s="5"/>
      <c r="K437" s="5"/>
      <c r="L437" s="5"/>
      <c r="M437" t="str">
        <f t="shared" si="111"/>
        <v>"SouthEast": South-East</v>
      </c>
      <c r="N437" t="str">
        <f t="shared" si="112"/>
        <v>"SouthEast": Süd-Ost</v>
      </c>
      <c r="O437" s="143" t="str">
        <f t="shared" ca="1" si="102"/>
        <v>'SouthEast','South','SouthWest','West','NorthWest','North','NorthEast','East','SouthEast','South','SouthWest','West','NorthWest','North','NorthEast','-','_NA_'</v>
      </c>
    </row>
    <row r="438" spans="1:15">
      <c r="A438" s="140"/>
      <c r="B438" s="141">
        <v>3</v>
      </c>
      <c r="C438" s="5" t="s">
        <v>2026</v>
      </c>
      <c r="D438" s="141"/>
      <c r="E438" s="5" t="s">
        <v>2026</v>
      </c>
      <c r="F438" s="5"/>
      <c r="G438" s="5"/>
      <c r="H438" s="5"/>
      <c r="I438" s="5" t="s">
        <v>2027</v>
      </c>
      <c r="J438" s="5"/>
      <c r="K438" s="5"/>
      <c r="L438" s="5"/>
      <c r="M438" t="str">
        <f t="shared" si="111"/>
        <v>"South": South</v>
      </c>
      <c r="N438" t="str">
        <f t="shared" si="112"/>
        <v>"South": Süd</v>
      </c>
      <c r="O438" s="143" t="str">
        <f t="shared" ca="1" si="102"/>
        <v>'South','SouthWest','West','NorthWest','North','NorthEast','East','SouthEast','South','SouthWest','West','NorthWest','North','NorthEast','-','_NA_'</v>
      </c>
    </row>
    <row r="439" spans="1:15">
      <c r="A439" s="140"/>
      <c r="B439" s="141">
        <v>4</v>
      </c>
      <c r="C439" s="5" t="s">
        <v>2028</v>
      </c>
      <c r="D439" s="141"/>
      <c r="E439" s="5" t="s">
        <v>2029</v>
      </c>
      <c r="F439" s="5"/>
      <c r="G439" s="5"/>
      <c r="H439" s="5"/>
      <c r="I439" s="5" t="s">
        <v>2030</v>
      </c>
      <c r="J439" s="5"/>
      <c r="K439" s="5"/>
      <c r="L439" s="5"/>
      <c r="M439" t="str">
        <f t="shared" si="111"/>
        <v>"SouthWest": South-West</v>
      </c>
      <c r="N439" t="str">
        <f t="shared" si="112"/>
        <v>"SouthWest": Süd-West</v>
      </c>
      <c r="O439" s="143" t="str">
        <f t="shared" ca="1" si="102"/>
        <v>'SouthWest','West','NorthWest','North','NorthEast','East','SouthEast','South','SouthWest','West','NorthWest','North','NorthEast','-','_NA_'</v>
      </c>
    </row>
    <row r="440" spans="1:15">
      <c r="A440" s="140"/>
      <c r="B440" s="141">
        <v>5</v>
      </c>
      <c r="C440" s="5" t="s">
        <v>2031</v>
      </c>
      <c r="D440" s="141"/>
      <c r="E440" s="5" t="s">
        <v>2031</v>
      </c>
      <c r="F440" s="5"/>
      <c r="G440" s="5"/>
      <c r="H440" s="5"/>
      <c r="I440" s="5" t="s">
        <v>2031</v>
      </c>
      <c r="J440" s="5"/>
      <c r="K440" s="5"/>
      <c r="L440" s="5"/>
      <c r="M440" t="str">
        <f t="shared" si="111"/>
        <v>"West": West</v>
      </c>
      <c r="N440" t="str">
        <f t="shared" si="112"/>
        <v>"West": West</v>
      </c>
      <c r="O440" s="143" t="str">
        <f t="shared" ca="1" si="102"/>
        <v>'West','NorthWest','North','NorthEast','East','SouthEast','South','SouthWest','West','NorthWest','North','NorthEast','-','_NA_'</v>
      </c>
    </row>
    <row r="441" spans="1:15">
      <c r="A441" s="140"/>
      <c r="B441" s="141">
        <v>6</v>
      </c>
      <c r="C441" s="5" t="s">
        <v>2032</v>
      </c>
      <c r="D441" s="141"/>
      <c r="E441" s="5" t="s">
        <v>2033</v>
      </c>
      <c r="F441" s="5"/>
      <c r="G441" s="5"/>
      <c r="H441" s="5"/>
      <c r="I441" s="5" t="s">
        <v>2034</v>
      </c>
      <c r="J441" s="5"/>
      <c r="K441" s="5"/>
      <c r="L441" s="5"/>
      <c r="M441" t="str">
        <f t="shared" si="111"/>
        <v>"NorthWest": North-West</v>
      </c>
      <c r="N441" t="str">
        <f t="shared" si="112"/>
        <v>"NorthWest": Nord-West</v>
      </c>
      <c r="O441" s="143" t="str">
        <f t="shared" ca="1" si="102"/>
        <v>'NorthWest','North','NorthEast','East','SouthEast','South','SouthWest','West','NorthWest','North','NorthEast','-','_NA_'</v>
      </c>
    </row>
    <row r="442" spans="1:15">
      <c r="A442" s="140"/>
      <c r="B442" s="141">
        <v>7</v>
      </c>
      <c r="C442" s="5" t="s">
        <v>2035</v>
      </c>
      <c r="D442" s="141"/>
      <c r="E442" s="5" t="s">
        <v>2035</v>
      </c>
      <c r="F442" s="5"/>
      <c r="G442" s="5"/>
      <c r="H442" s="5"/>
      <c r="I442" s="5" t="s">
        <v>2036</v>
      </c>
      <c r="J442" s="5"/>
      <c r="K442" s="5"/>
      <c r="L442" s="5"/>
      <c r="M442" t="str">
        <f t="shared" si="111"/>
        <v>"North": North</v>
      </c>
      <c r="N442" t="str">
        <f t="shared" si="112"/>
        <v>"North": Nord</v>
      </c>
      <c r="O442" s="143" t="str">
        <f t="shared" ca="1" si="102"/>
        <v>'North','NorthEast','East','SouthEast','South','SouthWest','West','NorthWest','North','NorthEast','-','_NA_'</v>
      </c>
    </row>
    <row r="443" spans="1:15">
      <c r="A443" s="140"/>
      <c r="B443" s="141">
        <v>8</v>
      </c>
      <c r="C443" s="5" t="s">
        <v>2037</v>
      </c>
      <c r="D443" s="141"/>
      <c r="E443" s="5" t="s">
        <v>2038</v>
      </c>
      <c r="F443" s="5"/>
      <c r="G443" s="5"/>
      <c r="H443" s="5"/>
      <c r="I443" s="5" t="s">
        <v>2039</v>
      </c>
      <c r="J443" s="5"/>
      <c r="K443" s="5"/>
      <c r="L443" s="5"/>
      <c r="M443" t="str">
        <f t="shared" si="111"/>
        <v>"NorthEast": North-East</v>
      </c>
      <c r="N443" t="str">
        <f t="shared" si="112"/>
        <v>"NorthEast": Nord-Ost</v>
      </c>
      <c r="O443" s="143" t="str">
        <f t="shared" ca="1" si="102"/>
        <v>'NorthEast','East','SouthEast','South','SouthWest','West','NorthWest','North','NorthEast','-','_NA_'</v>
      </c>
    </row>
    <row r="444" spans="1:15">
      <c r="A444" s="140"/>
      <c r="B444" s="141">
        <v>9</v>
      </c>
      <c r="C444" s="5" t="s">
        <v>2021</v>
      </c>
      <c r="D444" s="141"/>
      <c r="E444" s="5" t="s">
        <v>2021</v>
      </c>
      <c r="F444" s="5"/>
      <c r="G444" s="5"/>
      <c r="H444" s="5"/>
      <c r="I444" s="5" t="s">
        <v>2022</v>
      </c>
      <c r="J444" s="5"/>
      <c r="K444" s="5"/>
      <c r="L444" s="5"/>
      <c r="M444" t="str">
        <f t="shared" si="111"/>
        <v>"East": East</v>
      </c>
      <c r="N444" t="str">
        <f t="shared" si="112"/>
        <v>"East": Ost</v>
      </c>
      <c r="O444" s="143" t="str">
        <f t="shared" ca="1" si="102"/>
        <v>'East','SouthEast','South','SouthWest','West','NorthWest','North','NorthEast','-','_NA_'</v>
      </c>
    </row>
    <row r="445" spans="1:15">
      <c r="A445" s="140"/>
      <c r="B445" s="141">
        <v>10</v>
      </c>
      <c r="C445" s="5" t="s">
        <v>2023</v>
      </c>
      <c r="D445" s="141"/>
      <c r="E445" s="5" t="s">
        <v>2024</v>
      </c>
      <c r="F445" s="5"/>
      <c r="G445" s="5"/>
      <c r="H445" s="5"/>
      <c r="I445" s="5" t="s">
        <v>2025</v>
      </c>
      <c r="J445" s="5"/>
      <c r="K445" s="5"/>
      <c r="L445" s="5"/>
      <c r="M445" t="str">
        <f t="shared" si="111"/>
        <v>"SouthEast": South-East</v>
      </c>
      <c r="N445" t="str">
        <f t="shared" si="112"/>
        <v>"SouthEast": Süd-Ost</v>
      </c>
      <c r="O445" s="143" t="str">
        <f t="shared" ca="1" si="102"/>
        <v>'SouthEast','South','SouthWest','West','NorthWest','North','NorthEast','-','_NA_'</v>
      </c>
    </row>
    <row r="446" spans="1:15">
      <c r="A446" s="140"/>
      <c r="B446" s="141">
        <v>11</v>
      </c>
      <c r="C446" s="5" t="s">
        <v>2026</v>
      </c>
      <c r="D446" s="141"/>
      <c r="E446" s="5" t="s">
        <v>2026</v>
      </c>
      <c r="F446" s="5"/>
      <c r="G446" s="5"/>
      <c r="H446" s="5"/>
      <c r="I446" s="5" t="s">
        <v>2027</v>
      </c>
      <c r="J446" s="5"/>
      <c r="K446" s="5"/>
      <c r="L446" s="5"/>
      <c r="M446" t="str">
        <f t="shared" si="111"/>
        <v>"South": South</v>
      </c>
      <c r="N446" t="str">
        <f t="shared" si="112"/>
        <v>"South": Süd</v>
      </c>
      <c r="O446" s="143" t="str">
        <f t="shared" ca="1" si="102"/>
        <v>'South','SouthWest','West','NorthWest','North','NorthEast','-','_NA_'</v>
      </c>
    </row>
    <row r="447" spans="1:15">
      <c r="A447" s="140"/>
      <c r="B447" s="141">
        <v>12</v>
      </c>
      <c r="C447" s="5" t="s">
        <v>2028</v>
      </c>
      <c r="D447" s="141"/>
      <c r="E447" s="5" t="s">
        <v>2029</v>
      </c>
      <c r="F447" s="5"/>
      <c r="G447" s="5"/>
      <c r="H447" s="5"/>
      <c r="I447" s="5" t="s">
        <v>2030</v>
      </c>
      <c r="J447" s="5"/>
      <c r="K447" s="5"/>
      <c r="L447" s="5"/>
      <c r="M447" t="str">
        <f t="shared" si="111"/>
        <v>"SouthWest": South-West</v>
      </c>
      <c r="N447" t="str">
        <f t="shared" si="112"/>
        <v>"SouthWest": Süd-West</v>
      </c>
      <c r="O447" s="143" t="str">
        <f t="shared" ca="1" si="102"/>
        <v>'SouthWest','West','NorthWest','North','NorthEast','-','_NA_'</v>
      </c>
    </row>
    <row r="448" spans="1:15">
      <c r="A448" s="140"/>
      <c r="B448" s="141">
        <v>13</v>
      </c>
      <c r="C448" s="5" t="s">
        <v>2031</v>
      </c>
      <c r="D448" s="141"/>
      <c r="E448" s="5" t="s">
        <v>2031</v>
      </c>
      <c r="F448" s="5"/>
      <c r="G448" s="5"/>
      <c r="H448" s="5"/>
      <c r="I448" s="5" t="s">
        <v>2031</v>
      </c>
      <c r="J448" s="5"/>
      <c r="K448" s="5"/>
      <c r="L448" s="5"/>
      <c r="M448" t="str">
        <f t="shared" si="111"/>
        <v>"West": West</v>
      </c>
      <c r="N448" t="str">
        <f t="shared" si="112"/>
        <v>"West": West</v>
      </c>
      <c r="O448" s="143" t="str">
        <f t="shared" ca="1" si="102"/>
        <v>'West','NorthWest','North','NorthEast','-','_NA_'</v>
      </c>
    </row>
    <row r="449" spans="1:15">
      <c r="A449" s="140"/>
      <c r="B449" s="141">
        <v>14</v>
      </c>
      <c r="C449" s="5" t="s">
        <v>2032</v>
      </c>
      <c r="D449" s="141"/>
      <c r="E449" s="5" t="s">
        <v>2033</v>
      </c>
      <c r="F449" s="5"/>
      <c r="G449" s="5"/>
      <c r="H449" s="5"/>
      <c r="I449" s="5" t="s">
        <v>2034</v>
      </c>
      <c r="J449" s="5"/>
      <c r="K449" s="5"/>
      <c r="L449" s="5"/>
      <c r="M449" t="str">
        <f t="shared" si="111"/>
        <v>"NorthWest": North-West</v>
      </c>
      <c r="N449" t="str">
        <f t="shared" si="112"/>
        <v>"NorthWest": Nord-West</v>
      </c>
      <c r="O449" s="143" t="str">
        <f t="shared" ca="1" si="102"/>
        <v>'NorthWest','North','NorthEast','-','_NA_'</v>
      </c>
    </row>
    <row r="450" spans="1:15">
      <c r="A450" s="140"/>
      <c r="B450" s="141">
        <v>15</v>
      </c>
      <c r="C450" s="5" t="s">
        <v>2035</v>
      </c>
      <c r="D450" s="141"/>
      <c r="E450" s="5" t="s">
        <v>2035</v>
      </c>
      <c r="F450" s="5"/>
      <c r="G450" s="5"/>
      <c r="H450" s="5"/>
      <c r="I450" s="5" t="s">
        <v>2036</v>
      </c>
      <c r="J450" s="5"/>
      <c r="K450" s="5"/>
      <c r="L450" s="5"/>
      <c r="M450" t="str">
        <f t="shared" si="111"/>
        <v>"North": North</v>
      </c>
      <c r="N450" t="str">
        <f t="shared" si="112"/>
        <v>"North": Nord</v>
      </c>
      <c r="O450" s="143" t="str">
        <f t="shared" ca="1" si="102"/>
        <v>'North','NorthEast','-','_NA_'</v>
      </c>
    </row>
    <row r="451" spans="1:15">
      <c r="A451" s="140"/>
      <c r="B451" s="141">
        <v>16</v>
      </c>
      <c r="C451" s="5" t="s">
        <v>2037</v>
      </c>
      <c r="D451" s="141"/>
      <c r="E451" s="5" t="s">
        <v>2038</v>
      </c>
      <c r="F451" s="5"/>
      <c r="G451" s="5"/>
      <c r="H451" s="5"/>
      <c r="I451" s="5" t="s">
        <v>2039</v>
      </c>
      <c r="J451" s="5"/>
      <c r="K451" s="5"/>
      <c r="L451" s="5"/>
      <c r="M451" t="str">
        <f t="shared" si="111"/>
        <v>"NorthEast": North-East</v>
      </c>
      <c r="N451" t="str">
        <f t="shared" si="112"/>
        <v>"NorthEast": Nord-Ost</v>
      </c>
      <c r="O451" s="143" t="str">
        <f t="shared" ca="1" si="102"/>
        <v>'NorthEast','-','_NA_'</v>
      </c>
    </row>
    <row r="452" spans="1:15">
      <c r="A452" s="140"/>
      <c r="B452" s="141">
        <v>17</v>
      </c>
      <c r="C452" s="5" t="s">
        <v>1266</v>
      </c>
      <c r="D452" s="141"/>
      <c r="E452" s="5" t="s">
        <v>2040</v>
      </c>
      <c r="F452" s="5"/>
      <c r="G452" s="5"/>
      <c r="H452" s="5"/>
      <c r="I452" s="5" t="s">
        <v>2041</v>
      </c>
      <c r="J452" s="5"/>
      <c r="K452" s="5"/>
      <c r="L452" s="5"/>
      <c r="M452" t="str">
        <f t="shared" si="111"/>
        <v>"-": Not existing</v>
      </c>
      <c r="N452" t="str">
        <f t="shared" si="112"/>
        <v>"-": nicht vorhanden</v>
      </c>
      <c r="O452" s="143" t="str">
        <f t="shared" ca="1" si="102"/>
        <v>'-','_NA_'</v>
      </c>
    </row>
    <row r="453" spans="1:15">
      <c r="A453" s="140"/>
      <c r="B453" s="141">
        <v>18</v>
      </c>
      <c r="C453" s="5" t="s">
        <v>41</v>
      </c>
      <c r="D453" s="141"/>
      <c r="E453" s="5" t="s">
        <v>1640</v>
      </c>
      <c r="F453" s="5"/>
      <c r="G453" s="5"/>
      <c r="H453" s="5"/>
      <c r="I453" s="5" t="s">
        <v>2019</v>
      </c>
      <c r="J453" s="5"/>
      <c r="K453" s="5"/>
      <c r="L453" s="5"/>
      <c r="M453" t="str">
        <f t="shared" si="111"/>
        <v>"_NA_": Not defined</v>
      </c>
      <c r="N453" t="str">
        <f t="shared" si="112"/>
        <v>"_NA_": keine Angabe / nicht definiert</v>
      </c>
      <c r="O453" s="143" t="str">
        <f t="shared" ca="1" si="102"/>
        <v>'_NA_'</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29"/>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12" defaultRowHeight="10.199999999999999" outlineLevelRow="1"/>
  <cols>
    <col min="1" max="1" width="17.7109375" style="14" customWidth="1"/>
    <col min="2" max="2" width="26.7109375" style="14" customWidth="1"/>
    <col min="3" max="3" width="19.140625" style="14" customWidth="1"/>
    <col min="4" max="28" width="7.5703125" style="14" customWidth="1"/>
    <col min="29" max="30" width="14.28515625" style="14" customWidth="1"/>
    <col min="31" max="31" width="28.5703125" style="14" customWidth="1"/>
    <col min="32" max="16384" width="12" style="14"/>
  </cols>
  <sheetData>
    <row r="1" spans="1:31" s="6" customFormat="1" ht="30.6">
      <c r="A1" s="1" t="s">
        <v>209</v>
      </c>
      <c r="B1" s="1" t="s">
        <v>210</v>
      </c>
      <c r="C1" s="1" t="s">
        <v>211</v>
      </c>
      <c r="D1" s="1" t="s">
        <v>221</v>
      </c>
      <c r="E1" s="1" t="s">
        <v>222</v>
      </c>
      <c r="F1" s="1" t="s">
        <v>223</v>
      </c>
      <c r="G1" s="1" t="s">
        <v>224</v>
      </c>
      <c r="H1" s="1" t="s">
        <v>225</v>
      </c>
      <c r="I1" s="1" t="s">
        <v>226</v>
      </c>
      <c r="J1" s="1" t="s">
        <v>227</v>
      </c>
      <c r="K1" s="1" t="s">
        <v>228</v>
      </c>
      <c r="L1" s="1" t="s">
        <v>229</v>
      </c>
      <c r="M1" s="1" t="s">
        <v>230</v>
      </c>
      <c r="N1" s="1" t="s">
        <v>231</v>
      </c>
      <c r="O1" s="1" t="s">
        <v>232</v>
      </c>
      <c r="P1" s="1" t="s">
        <v>233</v>
      </c>
      <c r="Q1" s="1" t="s">
        <v>234</v>
      </c>
      <c r="R1" s="1" t="s">
        <v>235</v>
      </c>
      <c r="S1" s="1" t="s">
        <v>236</v>
      </c>
      <c r="T1" s="1" t="s">
        <v>237</v>
      </c>
      <c r="U1" s="1" t="s">
        <v>238</v>
      </c>
      <c r="V1" s="1" t="s">
        <v>239</v>
      </c>
      <c r="W1" s="1" t="s">
        <v>240</v>
      </c>
      <c r="X1" s="1" t="s">
        <v>241</v>
      </c>
      <c r="Y1" s="1" t="s">
        <v>242</v>
      </c>
      <c r="Z1" s="1" t="s">
        <v>243</v>
      </c>
      <c r="AA1" s="1" t="s">
        <v>244</v>
      </c>
      <c r="AB1" s="1" t="s">
        <v>245</v>
      </c>
      <c r="AC1" s="1" t="s">
        <v>36</v>
      </c>
      <c r="AD1" s="1" t="s">
        <v>37</v>
      </c>
      <c r="AE1" s="1" t="s">
        <v>38</v>
      </c>
    </row>
    <row r="2" spans="1:31" s="6" customFormat="1" ht="25.2" customHeight="1">
      <c r="A2" s="4" t="s">
        <v>279</v>
      </c>
      <c r="B2" s="4" t="s">
        <v>160</v>
      </c>
      <c r="C2" s="4" t="s">
        <v>275</v>
      </c>
      <c r="D2" s="4" t="s">
        <v>276</v>
      </c>
      <c r="E2" s="4" t="s">
        <v>276</v>
      </c>
      <c r="F2" s="4" t="s">
        <v>276</v>
      </c>
      <c r="G2" s="4" t="s">
        <v>276</v>
      </c>
      <c r="H2" s="4" t="s">
        <v>276</v>
      </c>
      <c r="I2" s="4" t="s">
        <v>276</v>
      </c>
      <c r="J2" s="4" t="s">
        <v>276</v>
      </c>
      <c r="K2" s="4" t="s">
        <v>276</v>
      </c>
      <c r="L2" s="4" t="s">
        <v>276</v>
      </c>
      <c r="M2" s="4" t="s">
        <v>276</v>
      </c>
      <c r="N2" s="4" t="s">
        <v>276</v>
      </c>
      <c r="O2" s="4" t="s">
        <v>276</v>
      </c>
      <c r="P2" s="4" t="s">
        <v>276</v>
      </c>
      <c r="Q2" s="4" t="s">
        <v>276</v>
      </c>
      <c r="R2" s="4" t="s">
        <v>276</v>
      </c>
      <c r="S2" s="4" t="s">
        <v>276</v>
      </c>
      <c r="T2" s="4" t="s">
        <v>276</v>
      </c>
      <c r="U2" s="4" t="s">
        <v>276</v>
      </c>
      <c r="V2" s="4" t="s">
        <v>276</v>
      </c>
      <c r="W2" s="4" t="s">
        <v>276</v>
      </c>
      <c r="X2" s="4" t="s">
        <v>276</v>
      </c>
      <c r="Y2" s="4" t="s">
        <v>276</v>
      </c>
      <c r="Z2" s="4" t="s">
        <v>276</v>
      </c>
      <c r="AA2" s="4" t="s">
        <v>276</v>
      </c>
      <c r="AB2" s="4" t="s">
        <v>276</v>
      </c>
      <c r="AC2" s="4" t="s">
        <v>271</v>
      </c>
      <c r="AD2" s="4" t="s">
        <v>272</v>
      </c>
      <c r="AE2" s="4" t="s">
        <v>273</v>
      </c>
    </row>
    <row r="3" spans="1:31" s="6" customFormat="1" ht="25.2" customHeight="1">
      <c r="A3" s="4"/>
      <c r="B3" s="4"/>
      <c r="C3" s="4"/>
      <c r="D3" s="4" t="s">
        <v>246</v>
      </c>
      <c r="E3" s="4" t="s">
        <v>247</v>
      </c>
      <c r="F3" s="4" t="s">
        <v>248</v>
      </c>
      <c r="G3" s="4" t="s">
        <v>249</v>
      </c>
      <c r="H3" s="4" t="s">
        <v>250</v>
      </c>
      <c r="I3" s="4" t="s">
        <v>251</v>
      </c>
      <c r="J3" s="4" t="s">
        <v>252</v>
      </c>
      <c r="K3" s="4" t="s">
        <v>253</v>
      </c>
      <c r="L3" s="4" t="s">
        <v>254</v>
      </c>
      <c r="M3" s="4" t="s">
        <v>255</v>
      </c>
      <c r="N3" s="4" t="s">
        <v>256</v>
      </c>
      <c r="O3" s="4" t="s">
        <v>257</v>
      </c>
      <c r="P3" s="4" t="s">
        <v>258</v>
      </c>
      <c r="Q3" s="4" t="s">
        <v>259</v>
      </c>
      <c r="R3" s="4" t="s">
        <v>260</v>
      </c>
      <c r="S3" s="4" t="s">
        <v>261</v>
      </c>
      <c r="T3" s="4" t="s">
        <v>262</v>
      </c>
      <c r="U3" s="4" t="s">
        <v>263</v>
      </c>
      <c r="V3" s="4" t="s">
        <v>264</v>
      </c>
      <c r="W3" s="4" t="s">
        <v>265</v>
      </c>
      <c r="X3" s="4" t="s">
        <v>266</v>
      </c>
      <c r="Y3" s="4" t="s">
        <v>267</v>
      </c>
      <c r="Z3" s="4" t="s">
        <v>268</v>
      </c>
      <c r="AA3" s="4" t="s">
        <v>269</v>
      </c>
      <c r="AB3" s="4" t="s">
        <v>270</v>
      </c>
      <c r="AC3" s="4"/>
      <c r="AD3" s="4"/>
      <c r="AE3" s="4" t="s">
        <v>274</v>
      </c>
    </row>
    <row r="4" spans="1:31"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s="6" customFormat="1" collapsed="1">
      <c r="A6" s="39" t="s">
        <v>95</v>
      </c>
      <c r="B6" s="39" t="s">
        <v>97</v>
      </c>
      <c r="C6" s="39" t="s">
        <v>97</v>
      </c>
      <c r="D6" s="39" t="s">
        <v>96</v>
      </c>
      <c r="E6" s="39" t="s">
        <v>96</v>
      </c>
      <c r="F6" s="39" t="s">
        <v>96</v>
      </c>
      <c r="G6" s="39" t="s">
        <v>96</v>
      </c>
      <c r="H6" s="39" t="s">
        <v>96</v>
      </c>
      <c r="I6" s="39" t="s">
        <v>96</v>
      </c>
      <c r="J6" s="39" t="s">
        <v>96</v>
      </c>
      <c r="K6" s="39" t="s">
        <v>96</v>
      </c>
      <c r="L6" s="39" t="s">
        <v>96</v>
      </c>
      <c r="M6" s="39" t="s">
        <v>96</v>
      </c>
      <c r="N6" s="39" t="s">
        <v>96</v>
      </c>
      <c r="O6" s="39" t="s">
        <v>96</v>
      </c>
      <c r="P6" s="39" t="s">
        <v>96</v>
      </c>
      <c r="Q6" s="39" t="s">
        <v>96</v>
      </c>
      <c r="R6" s="39" t="s">
        <v>96</v>
      </c>
      <c r="S6" s="39" t="s">
        <v>96</v>
      </c>
      <c r="T6" s="39" t="s">
        <v>96</v>
      </c>
      <c r="U6" s="39" t="s">
        <v>96</v>
      </c>
      <c r="V6" s="39" t="s">
        <v>96</v>
      </c>
      <c r="W6" s="39" t="s">
        <v>96</v>
      </c>
      <c r="X6" s="39" t="s">
        <v>96</v>
      </c>
      <c r="Y6" s="39" t="s">
        <v>96</v>
      </c>
      <c r="Z6" s="39" t="s">
        <v>96</v>
      </c>
      <c r="AA6" s="39" t="s">
        <v>96</v>
      </c>
      <c r="AB6" s="39" t="s">
        <v>96</v>
      </c>
      <c r="AC6" s="39" t="s">
        <v>217</v>
      </c>
      <c r="AD6" s="39" t="s">
        <v>217</v>
      </c>
      <c r="AE6" s="39" t="s">
        <v>97</v>
      </c>
    </row>
    <row r="7" spans="1:31" s="6" customFormat="1" hidden="1" outlineLevel="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s="6" customFormat="1" hidden="1" outlineLevel="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s="6" customFormat="1" hidden="1" outlineLevel="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s="6" customFormat="1" hidden="1" outlineLevel="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s="6" customFormat="1" ht="20.399999999999999">
      <c r="A11" s="1" t="s">
        <v>277</v>
      </c>
      <c r="B11" s="25" t="s">
        <v>212</v>
      </c>
      <c r="C11" s="25"/>
      <c r="D11" s="25">
        <v>0</v>
      </c>
      <c r="E11" s="25">
        <v>1860</v>
      </c>
      <c r="F11" s="25">
        <v>1919</v>
      </c>
      <c r="G11" s="25">
        <v>1949</v>
      </c>
      <c r="H11" s="25">
        <v>1958</v>
      </c>
      <c r="I11" s="25">
        <v>1969</v>
      </c>
      <c r="J11" s="25">
        <v>1979</v>
      </c>
      <c r="K11" s="25">
        <v>1984</v>
      </c>
      <c r="L11" s="25">
        <v>1995</v>
      </c>
      <c r="M11" s="25">
        <v>2002</v>
      </c>
      <c r="N11" s="25">
        <v>2010</v>
      </c>
      <c r="O11" s="25">
        <v>2016</v>
      </c>
      <c r="P11" s="25"/>
      <c r="Q11" s="25"/>
      <c r="R11" s="25"/>
      <c r="S11" s="25"/>
      <c r="T11" s="25"/>
      <c r="U11" s="25"/>
      <c r="V11" s="25"/>
      <c r="W11" s="25"/>
      <c r="X11" s="25"/>
      <c r="Y11" s="25"/>
      <c r="Z11" s="25"/>
      <c r="AA11" s="25"/>
      <c r="AB11" s="25"/>
      <c r="AC11" s="38">
        <v>43978</v>
      </c>
      <c r="AD11" s="38"/>
      <c r="AE11" s="40"/>
    </row>
    <row r="12" spans="1:31" s="6" customFormat="1" ht="20.399999999999999">
      <c r="A12" s="1" t="s">
        <v>278</v>
      </c>
      <c r="B12" s="25" t="s">
        <v>213</v>
      </c>
      <c r="C12" s="25"/>
      <c r="D12" s="25">
        <v>1859</v>
      </c>
      <c r="E12" s="25">
        <v>1918</v>
      </c>
      <c r="F12" s="25">
        <v>1948</v>
      </c>
      <c r="G12" s="25">
        <v>1957</v>
      </c>
      <c r="H12" s="25">
        <v>1968</v>
      </c>
      <c r="I12" s="25">
        <v>1978</v>
      </c>
      <c r="J12" s="25">
        <v>1983</v>
      </c>
      <c r="K12" s="25">
        <v>1994</v>
      </c>
      <c r="L12" s="25">
        <v>2001</v>
      </c>
      <c r="M12" s="25">
        <v>2009</v>
      </c>
      <c r="N12" s="25">
        <v>2015</v>
      </c>
      <c r="O12" s="25">
        <v>9999</v>
      </c>
      <c r="P12" s="25"/>
      <c r="Q12" s="25"/>
      <c r="R12" s="25"/>
      <c r="S12" s="25"/>
      <c r="T12" s="25"/>
      <c r="U12" s="25"/>
      <c r="V12" s="25"/>
      <c r="W12" s="25"/>
      <c r="X12" s="25"/>
      <c r="Y12" s="25"/>
      <c r="Z12" s="25"/>
      <c r="AA12" s="25"/>
      <c r="AB12" s="25"/>
      <c r="AC12" s="38">
        <v>43978</v>
      </c>
      <c r="AD12" s="38"/>
      <c r="AE12" s="40"/>
    </row>
    <row r="13" spans="1:31" s="6" customFormat="1">
      <c r="A13" s="1"/>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38"/>
      <c r="AD13" s="38"/>
      <c r="AE13" s="40"/>
    </row>
    <row r="14" spans="1:31" s="6" customFormat="1">
      <c r="A14" s="1"/>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38"/>
      <c r="AD14" s="38"/>
      <c r="AE14" s="40"/>
    </row>
    <row r="15" spans="1:31" s="6" customFormat="1">
      <c r="A15" s="1"/>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38"/>
      <c r="AD15" s="38"/>
      <c r="AE15" s="40"/>
    </row>
    <row r="16" spans="1:31" s="6" customFormat="1">
      <c r="A16" s="1"/>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38"/>
      <c r="AD16" s="38"/>
      <c r="AE16" s="40"/>
    </row>
    <row r="17" spans="1:31" s="6" customFormat="1">
      <c r="A17" s="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38"/>
      <c r="AD17" s="38"/>
      <c r="AE17" s="40"/>
    </row>
    <row r="18" spans="1:31" s="6" customFormat="1">
      <c r="A18" s="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38"/>
      <c r="AD18" s="38"/>
      <c r="AE18" s="40"/>
    </row>
    <row r="19" spans="1:31" s="6" customFormat="1">
      <c r="A19" s="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38"/>
      <c r="AD19" s="38"/>
      <c r="AE19" s="40"/>
    </row>
    <row r="20" spans="1:31" s="6" customFormat="1">
      <c r="A20" s="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38"/>
      <c r="AD20" s="38"/>
      <c r="AE20" s="40"/>
    </row>
    <row r="21" spans="1:31" s="6" customFormat="1">
      <c r="A21" s="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38"/>
      <c r="AD21" s="38"/>
      <c r="AE21" s="40"/>
    </row>
    <row r="22" spans="1:31" s="6" customFormat="1">
      <c r="A22" s="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38"/>
      <c r="AD22" s="38"/>
      <c r="AE22" s="40"/>
    </row>
    <row r="23" spans="1:31" s="6" customFormat="1">
      <c r="A23" s="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38"/>
      <c r="AD23" s="38"/>
      <c r="AE23" s="40"/>
    </row>
    <row r="24" spans="1:31" s="6" customFormat="1">
      <c r="A24" s="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38"/>
      <c r="AD24" s="38"/>
      <c r="AE24" s="40"/>
    </row>
    <row r="25" spans="1:31" s="6" customFormat="1">
      <c r="A25" s="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38"/>
      <c r="AD25" s="38"/>
      <c r="AE25" s="40"/>
    </row>
    <row r="26" spans="1:31" s="6" customFormat="1">
      <c r="A26" s="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38"/>
      <c r="AD26" s="38"/>
      <c r="AE26" s="40"/>
    </row>
    <row r="27" spans="1:31" s="6" customFormat="1">
      <c r="A27" s="1"/>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38"/>
      <c r="AD27" s="38"/>
      <c r="AE27" s="40"/>
    </row>
    <row r="28" spans="1:31" s="6" customFormat="1">
      <c r="A28" s="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38"/>
      <c r="AD28" s="38"/>
      <c r="AE28" s="40"/>
    </row>
    <row r="29" spans="1:31" s="6" customFormat="1">
      <c r="A29" s="1"/>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38"/>
      <c r="AD29" s="38"/>
      <c r="AE29" s="40"/>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H252"/>
  <sheetViews>
    <sheetView showGridLines="0" zoomScale="80" zoomScaleNormal="80" workbookViewId="0">
      <pane xSplit="1" ySplit="10" topLeftCell="B11" activePane="bottomRight" state="frozen"/>
      <selection activeCell="S626" sqref="S626"/>
      <selection pane="topRight" activeCell="S626" sqref="S626"/>
      <selection pane="bottomLeft" activeCell="S626" sqref="S626"/>
      <selection pane="bottomRight" activeCell="B11" sqref="B11"/>
    </sheetView>
  </sheetViews>
  <sheetFormatPr baseColWidth="10" defaultColWidth="29.28515625" defaultRowHeight="10.199999999999999" outlineLevelRow="1"/>
  <cols>
    <col min="1" max="1" width="51" style="84" customWidth="1"/>
    <col min="2" max="2" width="16.7109375" style="84" customWidth="1"/>
    <col min="3" max="3" width="12.42578125" style="93" customWidth="1"/>
    <col min="4" max="5" width="12.42578125" style="84" customWidth="1"/>
    <col min="6" max="6" width="29.28515625" style="84" customWidth="1"/>
    <col min="7" max="7" width="50" style="84" customWidth="1"/>
    <col min="8" max="10" width="9.28515625" style="14" customWidth="1"/>
    <col min="11" max="24" width="12.42578125" style="84" customWidth="1"/>
    <col min="25" max="25" width="66.7109375" style="84" customWidth="1"/>
    <col min="26" max="16384" width="29.28515625" style="84"/>
  </cols>
  <sheetData>
    <row r="1" spans="1:34" s="79" customFormat="1" ht="40.799999999999997">
      <c r="A1" s="1" t="s">
        <v>0</v>
      </c>
      <c r="B1" s="1" t="s">
        <v>13</v>
      </c>
      <c r="C1" s="1" t="s">
        <v>15</v>
      </c>
      <c r="D1" s="1" t="s">
        <v>17</v>
      </c>
      <c r="E1" s="1" t="s">
        <v>19</v>
      </c>
      <c r="F1" s="1" t="s">
        <v>20</v>
      </c>
      <c r="G1" s="1" t="s">
        <v>21</v>
      </c>
      <c r="H1" s="1" t="s">
        <v>25</v>
      </c>
      <c r="I1" s="1" t="s">
        <v>26</v>
      </c>
      <c r="J1" s="1" t="s">
        <v>27</v>
      </c>
      <c r="K1" s="189" t="s">
        <v>2209</v>
      </c>
      <c r="L1" s="1" t="s">
        <v>28</v>
      </c>
      <c r="M1" s="1" t="s">
        <v>29</v>
      </c>
      <c r="N1" s="189" t="s">
        <v>2210</v>
      </c>
      <c r="O1" s="1" t="s">
        <v>30</v>
      </c>
      <c r="P1" s="1" t="s">
        <v>31</v>
      </c>
      <c r="Q1" s="189" t="s">
        <v>2211</v>
      </c>
      <c r="R1" s="1" t="s">
        <v>32</v>
      </c>
      <c r="S1" s="1" t="s">
        <v>33</v>
      </c>
      <c r="T1" s="189" t="s">
        <v>2212</v>
      </c>
      <c r="U1" s="1" t="s">
        <v>34</v>
      </c>
      <c r="V1" s="1" t="s">
        <v>35</v>
      </c>
      <c r="W1" s="1" t="s">
        <v>36</v>
      </c>
      <c r="X1" s="1" t="s">
        <v>37</v>
      </c>
      <c r="Y1" s="1" t="s">
        <v>38</v>
      </c>
    </row>
    <row r="2" spans="1:34" s="79" customFormat="1" ht="52.5" customHeight="1">
      <c r="A2" s="4" t="s">
        <v>313</v>
      </c>
      <c r="B2" s="4" t="s">
        <v>314</v>
      </c>
      <c r="C2" s="4" t="s">
        <v>315</v>
      </c>
      <c r="D2" s="4" t="s">
        <v>316</v>
      </c>
      <c r="E2" s="4" t="s">
        <v>317</v>
      </c>
      <c r="F2" s="4"/>
      <c r="G2" s="4" t="s">
        <v>318</v>
      </c>
      <c r="H2" s="4" t="s">
        <v>319</v>
      </c>
      <c r="I2" s="4" t="s">
        <v>319</v>
      </c>
      <c r="J2" s="4" t="s">
        <v>320</v>
      </c>
      <c r="K2" s="4" t="s">
        <v>321</v>
      </c>
      <c r="L2" s="4" t="s">
        <v>321</v>
      </c>
      <c r="M2" s="4" t="s">
        <v>321</v>
      </c>
      <c r="N2" s="4" t="s">
        <v>322</v>
      </c>
      <c r="O2" s="4" t="s">
        <v>322</v>
      </c>
      <c r="P2" s="4" t="s">
        <v>322</v>
      </c>
      <c r="Q2" s="4" t="s">
        <v>134</v>
      </c>
      <c r="R2" s="4" t="s">
        <v>134</v>
      </c>
      <c r="S2" s="4" t="s">
        <v>134</v>
      </c>
      <c r="T2" s="4" t="s">
        <v>323</v>
      </c>
      <c r="U2" s="4" t="s">
        <v>323</v>
      </c>
      <c r="V2" s="4" t="s">
        <v>323</v>
      </c>
      <c r="W2" s="4" t="s">
        <v>324</v>
      </c>
      <c r="X2" s="4" t="s">
        <v>325</v>
      </c>
      <c r="Y2" s="4" t="s">
        <v>326</v>
      </c>
    </row>
    <row r="3" spans="1:34" s="79" customFormat="1" ht="52.5" customHeight="1">
      <c r="A3" s="4"/>
      <c r="B3" s="4"/>
      <c r="C3" s="4"/>
      <c r="D3" s="4" t="s">
        <v>327</v>
      </c>
      <c r="E3" s="4" t="s">
        <v>328</v>
      </c>
      <c r="F3" s="4"/>
      <c r="G3" s="4"/>
      <c r="H3" s="4"/>
      <c r="I3" s="4"/>
      <c r="J3" s="4"/>
      <c r="K3" s="4" t="s">
        <v>329</v>
      </c>
      <c r="L3" s="4" t="s">
        <v>330</v>
      </c>
      <c r="M3" s="4" t="s">
        <v>331</v>
      </c>
      <c r="N3" s="4" t="s">
        <v>329</v>
      </c>
      <c r="O3" s="4" t="s">
        <v>330</v>
      </c>
      <c r="P3" s="4" t="s">
        <v>332</v>
      </c>
      <c r="Q3" s="4" t="s">
        <v>329</v>
      </c>
      <c r="R3" s="4" t="s">
        <v>330</v>
      </c>
      <c r="S3" s="4" t="s">
        <v>333</v>
      </c>
      <c r="T3" s="4" t="s">
        <v>329</v>
      </c>
      <c r="U3" s="4" t="s">
        <v>330</v>
      </c>
      <c r="V3" s="4" t="s">
        <v>332</v>
      </c>
      <c r="W3" s="4"/>
      <c r="X3" s="4"/>
      <c r="Y3" s="4" t="s">
        <v>334</v>
      </c>
    </row>
    <row r="4" spans="1:34" s="79" customFormat="1" ht="20.399999999999999">
      <c r="A4" s="4" t="s">
        <v>747</v>
      </c>
      <c r="B4" s="4"/>
      <c r="C4" s="4"/>
      <c r="D4" s="4"/>
      <c r="E4" s="4"/>
      <c r="F4" s="4"/>
      <c r="G4" s="4"/>
      <c r="H4" s="4"/>
      <c r="I4" s="4"/>
      <c r="J4" s="4"/>
      <c r="K4" s="4" t="s">
        <v>46</v>
      </c>
      <c r="L4" s="4" t="s">
        <v>46</v>
      </c>
      <c r="M4" s="4" t="s">
        <v>46</v>
      </c>
      <c r="N4" s="4" t="s">
        <v>46</v>
      </c>
      <c r="O4" s="4" t="s">
        <v>46</v>
      </c>
      <c r="P4" s="4" t="s">
        <v>46</v>
      </c>
      <c r="Q4" s="4" t="s">
        <v>46</v>
      </c>
      <c r="R4" s="4" t="s">
        <v>46</v>
      </c>
      <c r="S4" s="4" t="s">
        <v>46</v>
      </c>
      <c r="T4" s="4" t="s">
        <v>46</v>
      </c>
      <c r="U4" s="4" t="s">
        <v>46</v>
      </c>
      <c r="V4" s="4" t="s">
        <v>46</v>
      </c>
      <c r="W4" s="4"/>
      <c r="X4" s="4"/>
      <c r="Y4" s="4"/>
    </row>
    <row r="5" spans="1:34" s="80" customFormat="1" ht="30.6">
      <c r="A5" s="4"/>
      <c r="B5" s="4" t="s">
        <v>335</v>
      </c>
      <c r="C5" s="4" t="s">
        <v>336</v>
      </c>
      <c r="D5" s="4"/>
      <c r="E5" s="4"/>
      <c r="F5" s="4"/>
      <c r="G5" s="4"/>
      <c r="H5" s="4"/>
      <c r="I5" s="4" t="s">
        <v>337</v>
      </c>
      <c r="J5" s="4" t="s">
        <v>338</v>
      </c>
      <c r="K5" s="4"/>
      <c r="L5" s="4"/>
      <c r="M5" s="4"/>
      <c r="N5" s="4"/>
      <c r="O5" s="4"/>
      <c r="P5" s="4"/>
      <c r="Q5" s="4"/>
      <c r="R5" s="4"/>
      <c r="S5" s="4"/>
      <c r="T5" s="4"/>
      <c r="U5" s="4"/>
      <c r="V5" s="4"/>
      <c r="W5" s="4"/>
      <c r="X5" s="4"/>
      <c r="Y5" s="4"/>
    </row>
    <row r="6" spans="1:34" s="81" customFormat="1" collapsed="1">
      <c r="A6" s="63" t="s">
        <v>95</v>
      </c>
      <c r="B6" s="63" t="s">
        <v>95</v>
      </c>
      <c r="C6" s="63" t="s">
        <v>95</v>
      </c>
      <c r="D6" s="63" t="s">
        <v>95</v>
      </c>
      <c r="E6" s="63" t="s">
        <v>96</v>
      </c>
      <c r="F6" s="63" t="s">
        <v>97</v>
      </c>
      <c r="G6" s="63" t="s">
        <v>97</v>
      </c>
      <c r="H6" s="63" t="s">
        <v>95</v>
      </c>
      <c r="I6" s="63" t="s">
        <v>96</v>
      </c>
      <c r="J6" s="64" t="s">
        <v>96</v>
      </c>
      <c r="K6" s="65" t="s">
        <v>98</v>
      </c>
      <c r="L6" s="63" t="s">
        <v>98</v>
      </c>
      <c r="M6" s="63" t="s">
        <v>98</v>
      </c>
      <c r="N6" s="65" t="s">
        <v>98</v>
      </c>
      <c r="O6" s="63" t="s">
        <v>98</v>
      </c>
      <c r="P6" s="63" t="s">
        <v>98</v>
      </c>
      <c r="Q6" s="65" t="s">
        <v>98</v>
      </c>
      <c r="R6" s="63" t="s">
        <v>98</v>
      </c>
      <c r="S6" s="63" t="s">
        <v>98</v>
      </c>
      <c r="T6" s="65" t="s">
        <v>98</v>
      </c>
      <c r="U6" s="63" t="s">
        <v>98</v>
      </c>
      <c r="V6" s="63" t="s">
        <v>98</v>
      </c>
      <c r="W6" s="65" t="s">
        <v>217</v>
      </c>
      <c r="X6" s="65" t="s">
        <v>217</v>
      </c>
      <c r="Y6" s="63" t="s">
        <v>97</v>
      </c>
    </row>
    <row r="7" spans="1:34" s="81" customFormat="1" ht="30.6" hidden="1" outlineLevel="1">
      <c r="A7" s="66"/>
      <c r="B7" s="66"/>
      <c r="C7" s="66"/>
      <c r="D7" s="66"/>
      <c r="E7" s="66"/>
      <c r="F7" s="66"/>
      <c r="G7" s="66"/>
      <c r="H7" s="67"/>
      <c r="I7" s="67" t="s">
        <v>25</v>
      </c>
      <c r="J7" s="67" t="s">
        <v>25</v>
      </c>
      <c r="K7" s="66"/>
      <c r="L7" s="66"/>
      <c r="M7" s="66"/>
      <c r="N7" s="66"/>
      <c r="O7" s="66"/>
      <c r="P7" s="66"/>
      <c r="Q7" s="66"/>
      <c r="R7" s="66"/>
      <c r="S7" s="66"/>
      <c r="T7" s="66"/>
      <c r="U7" s="66"/>
      <c r="V7" s="66"/>
      <c r="W7" s="66"/>
      <c r="X7" s="66"/>
      <c r="Y7" s="66"/>
    </row>
    <row r="8" spans="1:34" s="81" customFormat="1" hidden="1" outlineLevel="1">
      <c r="A8" s="68"/>
      <c r="B8" s="68"/>
      <c r="C8" s="68"/>
      <c r="D8" s="68"/>
      <c r="E8" s="68"/>
      <c r="F8" s="68"/>
      <c r="G8" s="68"/>
      <c r="H8" s="67"/>
      <c r="I8" s="67">
        <v>8</v>
      </c>
      <c r="J8" s="67">
        <v>8</v>
      </c>
      <c r="K8" s="68"/>
      <c r="L8" s="68"/>
      <c r="M8" s="68"/>
      <c r="N8" s="68"/>
      <c r="O8" s="68"/>
      <c r="P8" s="68"/>
      <c r="Q8" s="68"/>
      <c r="R8" s="68"/>
      <c r="S8" s="68"/>
      <c r="T8" s="68"/>
      <c r="U8" s="68"/>
      <c r="V8" s="68"/>
      <c r="W8" s="68"/>
      <c r="X8" s="68"/>
      <c r="Y8" s="68"/>
    </row>
    <row r="9" spans="1:34" s="81" customFormat="1" ht="40.799999999999997" hidden="1" outlineLevel="1">
      <c r="A9" s="68"/>
      <c r="B9" s="68"/>
      <c r="C9" s="68"/>
      <c r="D9" s="68"/>
      <c r="E9" s="68"/>
      <c r="F9" s="68"/>
      <c r="G9" s="68"/>
      <c r="H9" s="67"/>
      <c r="I9" s="67" t="s">
        <v>26</v>
      </c>
      <c r="J9" s="67" t="s">
        <v>27</v>
      </c>
      <c r="K9" s="68"/>
      <c r="L9" s="68"/>
      <c r="M9" s="68"/>
      <c r="N9" s="68"/>
      <c r="O9" s="68"/>
      <c r="P9" s="68"/>
      <c r="Q9" s="68"/>
      <c r="R9" s="68"/>
      <c r="S9" s="68"/>
      <c r="T9" s="68"/>
      <c r="U9" s="68"/>
      <c r="V9" s="68"/>
      <c r="W9" s="68"/>
      <c r="X9" s="68"/>
      <c r="Y9" s="68"/>
    </row>
    <row r="10" spans="1:34" s="81" customFormat="1" hidden="1" outlineLevel="1">
      <c r="A10" s="68"/>
      <c r="B10" s="68"/>
      <c r="C10" s="68"/>
      <c r="D10" s="68"/>
      <c r="E10" s="68"/>
      <c r="F10" s="68"/>
      <c r="G10" s="68"/>
      <c r="H10" s="67"/>
      <c r="I10" s="67">
        <v>8</v>
      </c>
      <c r="J10" s="67">
        <v>9</v>
      </c>
      <c r="K10" s="68"/>
      <c r="L10" s="68"/>
      <c r="M10" s="68"/>
      <c r="N10" s="68"/>
      <c r="O10" s="68"/>
      <c r="P10" s="68"/>
      <c r="Q10" s="68"/>
      <c r="R10" s="68"/>
      <c r="S10" s="68"/>
      <c r="T10" s="68"/>
      <c r="U10" s="68"/>
      <c r="V10" s="68"/>
      <c r="W10" s="68"/>
      <c r="X10" s="68"/>
      <c r="Y10" s="68"/>
    </row>
    <row r="11" spans="1:34" ht="21" customHeight="1">
      <c r="A11" s="69" t="s">
        <v>748</v>
      </c>
      <c r="B11" s="70" t="s">
        <v>339</v>
      </c>
      <c r="C11" s="70" t="s">
        <v>340</v>
      </c>
      <c r="D11" s="3" t="s">
        <v>18</v>
      </c>
      <c r="E11" s="3">
        <v>1</v>
      </c>
      <c r="F11" s="3"/>
      <c r="G11" s="3"/>
      <c r="H11" s="71" t="s">
        <v>749</v>
      </c>
      <c r="I11" s="72">
        <v>0</v>
      </c>
      <c r="J11" s="72">
        <v>1920</v>
      </c>
      <c r="K11" s="115">
        <v>1.4</v>
      </c>
      <c r="L11" s="115">
        <v>2.1</v>
      </c>
      <c r="M11" s="115">
        <v>1.4</v>
      </c>
      <c r="N11" s="115">
        <v>2.1</v>
      </c>
      <c r="O11" s="115">
        <v>2.1</v>
      </c>
      <c r="P11" s="115">
        <v>0.8</v>
      </c>
      <c r="Q11" s="115">
        <v>1.4</v>
      </c>
      <c r="R11" s="115">
        <v>1.4</v>
      </c>
      <c r="S11" s="115">
        <v>1.4</v>
      </c>
      <c r="T11" s="115">
        <v>1.5</v>
      </c>
      <c r="U11" s="115">
        <v>1.5</v>
      </c>
      <c r="V11" s="115">
        <v>0.8</v>
      </c>
      <c r="W11" s="116">
        <v>41355</v>
      </c>
      <c r="X11" s="116"/>
      <c r="Y11" s="117"/>
    </row>
    <row r="12" spans="1:34" ht="21" customHeight="1">
      <c r="A12" s="69" t="s">
        <v>1</v>
      </c>
      <c r="B12" s="70" t="s">
        <v>14</v>
      </c>
      <c r="C12" s="70" t="s">
        <v>16</v>
      </c>
      <c r="D12" s="3" t="s">
        <v>18</v>
      </c>
      <c r="E12" s="3">
        <v>1</v>
      </c>
      <c r="F12" s="3"/>
      <c r="G12" s="3" t="s">
        <v>22</v>
      </c>
      <c r="H12" s="71" t="s">
        <v>750</v>
      </c>
      <c r="I12" s="72">
        <v>0</v>
      </c>
      <c r="J12" s="72">
        <v>1859</v>
      </c>
      <c r="K12" s="115">
        <v>2.6</v>
      </c>
      <c r="L12" s="115">
        <v>2.1</v>
      </c>
      <c r="M12" s="115">
        <v>2.6</v>
      </c>
      <c r="N12" s="115">
        <v>1</v>
      </c>
      <c r="O12" s="115">
        <v>2.1</v>
      </c>
      <c r="P12" s="115">
        <v>1</v>
      </c>
      <c r="Q12" s="115">
        <v>1.7</v>
      </c>
      <c r="R12" s="115">
        <v>1.7</v>
      </c>
      <c r="S12" s="115">
        <v>2</v>
      </c>
      <c r="T12" s="115">
        <v>1.2</v>
      </c>
      <c r="U12" s="115">
        <v>1.2</v>
      </c>
      <c r="V12" s="115">
        <v>1.2</v>
      </c>
      <c r="W12" s="116">
        <v>41355</v>
      </c>
      <c r="X12" s="116"/>
      <c r="Y12" s="117"/>
    </row>
    <row r="13" spans="1:34" ht="21" customHeight="1">
      <c r="A13" s="69" t="s">
        <v>2</v>
      </c>
      <c r="B13" s="70" t="s">
        <v>14</v>
      </c>
      <c r="C13" s="70" t="s">
        <v>16</v>
      </c>
      <c r="D13" s="3" t="s">
        <v>18</v>
      </c>
      <c r="E13" s="3">
        <v>2</v>
      </c>
      <c r="F13" s="3"/>
      <c r="G13" s="3" t="s">
        <v>22</v>
      </c>
      <c r="H13" s="71" t="s">
        <v>751</v>
      </c>
      <c r="I13" s="72">
        <v>1860</v>
      </c>
      <c r="J13" s="72">
        <v>1918</v>
      </c>
      <c r="K13" s="115">
        <v>2.6</v>
      </c>
      <c r="L13" s="115">
        <v>2.1</v>
      </c>
      <c r="M13" s="115">
        <v>2.6</v>
      </c>
      <c r="N13" s="115">
        <v>1</v>
      </c>
      <c r="O13" s="115">
        <v>2.1</v>
      </c>
      <c r="P13" s="115">
        <v>1</v>
      </c>
      <c r="Q13" s="115">
        <v>1.7</v>
      </c>
      <c r="R13" s="115">
        <v>1.7</v>
      </c>
      <c r="S13" s="115">
        <v>2</v>
      </c>
      <c r="T13" s="115">
        <v>1.2</v>
      </c>
      <c r="U13" s="115">
        <v>1.2</v>
      </c>
      <c r="V13" s="115">
        <v>1</v>
      </c>
      <c r="W13" s="116">
        <v>41355</v>
      </c>
      <c r="X13" s="116"/>
      <c r="Y13" s="117"/>
      <c r="AA13" s="84">
        <v>2.1</v>
      </c>
      <c r="AB13" s="84">
        <v>2.6</v>
      </c>
      <c r="AC13" s="84">
        <v>2.1</v>
      </c>
      <c r="AD13" s="84">
        <v>1</v>
      </c>
      <c r="AE13" s="84">
        <v>1.7</v>
      </c>
      <c r="AF13" s="84">
        <v>2</v>
      </c>
      <c r="AG13" s="84">
        <v>1.2</v>
      </c>
      <c r="AH13" s="84">
        <v>1</v>
      </c>
    </row>
    <row r="14" spans="1:34" ht="21" customHeight="1">
      <c r="A14" s="69" t="s">
        <v>3</v>
      </c>
      <c r="B14" s="70" t="s">
        <v>14</v>
      </c>
      <c r="C14" s="70" t="s">
        <v>16</v>
      </c>
      <c r="D14" s="3" t="s">
        <v>18</v>
      </c>
      <c r="E14" s="3">
        <v>3</v>
      </c>
      <c r="F14" s="3"/>
      <c r="G14" s="3" t="s">
        <v>22</v>
      </c>
      <c r="H14" s="71" t="s">
        <v>752</v>
      </c>
      <c r="I14" s="72">
        <v>1919</v>
      </c>
      <c r="J14" s="72">
        <v>1948</v>
      </c>
      <c r="K14" s="115">
        <v>1.4</v>
      </c>
      <c r="L14" s="115">
        <v>2.1</v>
      </c>
      <c r="M14" s="115">
        <v>1.4</v>
      </c>
      <c r="N14" s="115">
        <v>0.8</v>
      </c>
      <c r="O14" s="115">
        <v>2.1</v>
      </c>
      <c r="P14" s="115">
        <v>0.8</v>
      </c>
      <c r="Q14" s="115">
        <v>1.7</v>
      </c>
      <c r="R14" s="115">
        <v>1.7</v>
      </c>
      <c r="S14" s="115">
        <v>2</v>
      </c>
      <c r="T14" s="115">
        <v>1.2</v>
      </c>
      <c r="U14" s="115">
        <v>1.2</v>
      </c>
      <c r="V14" s="115">
        <v>0.8</v>
      </c>
      <c r="W14" s="116">
        <v>41355</v>
      </c>
      <c r="X14" s="116"/>
      <c r="Y14" s="117"/>
      <c r="AA14" s="84">
        <v>2.1</v>
      </c>
      <c r="AB14" s="84">
        <v>1.4</v>
      </c>
      <c r="AC14" s="84">
        <v>2.1</v>
      </c>
      <c r="AD14" s="84">
        <v>0.8</v>
      </c>
      <c r="AE14" s="84">
        <v>1.7</v>
      </c>
      <c r="AF14" s="84">
        <v>2</v>
      </c>
      <c r="AG14" s="84">
        <v>1.2</v>
      </c>
      <c r="AH14" s="84">
        <v>0.8</v>
      </c>
    </row>
    <row r="15" spans="1:34" ht="21" customHeight="1">
      <c r="A15" s="69" t="s">
        <v>4</v>
      </c>
      <c r="B15" s="70" t="s">
        <v>14</v>
      </c>
      <c r="C15" s="70" t="s">
        <v>16</v>
      </c>
      <c r="D15" s="3" t="s">
        <v>18</v>
      </c>
      <c r="E15" s="3">
        <v>4</v>
      </c>
      <c r="F15" s="3"/>
      <c r="G15" s="3" t="s">
        <v>22</v>
      </c>
      <c r="H15" s="71" t="s">
        <v>753</v>
      </c>
      <c r="I15" s="72">
        <v>1949</v>
      </c>
      <c r="J15" s="72">
        <v>1957</v>
      </c>
      <c r="K15" s="115">
        <v>1.4</v>
      </c>
      <c r="L15" s="115">
        <v>2.1</v>
      </c>
      <c r="M15" s="115">
        <v>1.4</v>
      </c>
      <c r="N15" s="115">
        <v>2.1</v>
      </c>
      <c r="O15" s="115">
        <v>2.1</v>
      </c>
      <c r="P15" s="115">
        <v>0.8</v>
      </c>
      <c r="Q15" s="115">
        <v>1.4</v>
      </c>
      <c r="R15" s="115">
        <v>1.4</v>
      </c>
      <c r="S15" s="115">
        <v>1.4</v>
      </c>
      <c r="T15" s="115">
        <v>1.5</v>
      </c>
      <c r="U15" s="115">
        <v>1.5</v>
      </c>
      <c r="V15" s="115">
        <v>0.8</v>
      </c>
      <c r="W15" s="116">
        <v>41355</v>
      </c>
      <c r="X15" s="116"/>
      <c r="Y15" s="117"/>
      <c r="AA15" s="84">
        <v>2.1</v>
      </c>
      <c r="AB15" s="84">
        <v>1.4</v>
      </c>
      <c r="AC15" s="84">
        <v>2.1</v>
      </c>
      <c r="AD15" s="84">
        <v>0.8</v>
      </c>
      <c r="AE15" s="84">
        <v>1.4</v>
      </c>
      <c r="AF15" s="84">
        <v>1.4</v>
      </c>
      <c r="AG15" s="84">
        <v>1.5</v>
      </c>
      <c r="AH15" s="84">
        <v>0.8</v>
      </c>
    </row>
    <row r="16" spans="1:34" ht="21" customHeight="1">
      <c r="A16" s="69" t="s">
        <v>5</v>
      </c>
      <c r="B16" s="70" t="s">
        <v>14</v>
      </c>
      <c r="C16" s="70" t="s">
        <v>16</v>
      </c>
      <c r="D16" s="3" t="s">
        <v>18</v>
      </c>
      <c r="E16" s="3">
        <v>5</v>
      </c>
      <c r="F16" s="3"/>
      <c r="G16" s="3" t="s">
        <v>22</v>
      </c>
      <c r="H16" s="71" t="s">
        <v>754</v>
      </c>
      <c r="I16" s="72">
        <v>1958</v>
      </c>
      <c r="J16" s="72">
        <v>1968</v>
      </c>
      <c r="K16" s="115">
        <v>1.4</v>
      </c>
      <c r="L16" s="115">
        <v>2.1</v>
      </c>
      <c r="M16" s="115">
        <v>1.4</v>
      </c>
      <c r="N16" s="115">
        <v>2.1</v>
      </c>
      <c r="O16" s="115">
        <v>2.1</v>
      </c>
      <c r="P16" s="115">
        <v>0.8</v>
      </c>
      <c r="Q16" s="115">
        <v>1.4</v>
      </c>
      <c r="R16" s="115">
        <v>1.4</v>
      </c>
      <c r="S16" s="115">
        <v>1.4</v>
      </c>
      <c r="T16" s="115">
        <v>1</v>
      </c>
      <c r="U16" s="115">
        <v>1</v>
      </c>
      <c r="V16" s="115">
        <v>0.8</v>
      </c>
      <c r="W16" s="116">
        <v>41355</v>
      </c>
      <c r="X16" s="116"/>
      <c r="Y16" s="117"/>
      <c r="AA16" s="84">
        <v>2.1</v>
      </c>
      <c r="AB16" s="84">
        <v>1.4</v>
      </c>
      <c r="AC16" s="84">
        <v>2.1</v>
      </c>
      <c r="AD16" s="84">
        <v>0.8</v>
      </c>
      <c r="AE16" s="84">
        <v>1.4</v>
      </c>
      <c r="AF16" s="84">
        <v>1.4</v>
      </c>
      <c r="AG16" s="84">
        <v>1</v>
      </c>
      <c r="AH16" s="84">
        <v>0.8</v>
      </c>
    </row>
    <row r="17" spans="1:34" ht="21" customHeight="1">
      <c r="A17" s="69" t="s">
        <v>6</v>
      </c>
      <c r="B17" s="70" t="s">
        <v>14</v>
      </c>
      <c r="C17" s="70" t="s">
        <v>16</v>
      </c>
      <c r="D17" s="3" t="s">
        <v>18</v>
      </c>
      <c r="E17" s="3">
        <v>6</v>
      </c>
      <c r="F17" s="3"/>
      <c r="G17" s="3" t="s">
        <v>22</v>
      </c>
      <c r="H17" s="71" t="s">
        <v>755</v>
      </c>
      <c r="I17" s="72">
        <v>1969</v>
      </c>
      <c r="J17" s="72">
        <v>1978</v>
      </c>
      <c r="K17" s="115">
        <v>0.8</v>
      </c>
      <c r="L17" s="115">
        <v>0.6</v>
      </c>
      <c r="M17" s="115">
        <v>0.8</v>
      </c>
      <c r="N17" s="115">
        <v>0.6</v>
      </c>
      <c r="O17" s="115">
        <v>0.6</v>
      </c>
      <c r="P17" s="115">
        <v>0.6</v>
      </c>
      <c r="Q17" s="115">
        <v>1</v>
      </c>
      <c r="R17" s="115">
        <v>1</v>
      </c>
      <c r="S17" s="115">
        <v>0.6</v>
      </c>
      <c r="T17" s="115">
        <v>1</v>
      </c>
      <c r="U17" s="115">
        <v>1</v>
      </c>
      <c r="V17" s="115">
        <v>0.6</v>
      </c>
      <c r="W17" s="116">
        <v>41355</v>
      </c>
      <c r="X17" s="116"/>
      <c r="Y17" s="117"/>
      <c r="AA17" s="84">
        <v>0.6</v>
      </c>
      <c r="AB17" s="84">
        <v>0.8</v>
      </c>
      <c r="AC17" s="84">
        <v>0.6</v>
      </c>
      <c r="AD17" s="84">
        <v>0.6</v>
      </c>
      <c r="AE17" s="84">
        <v>1</v>
      </c>
      <c r="AF17" s="84">
        <v>0.6</v>
      </c>
      <c r="AG17" s="84">
        <v>1</v>
      </c>
      <c r="AH17" s="84">
        <v>0.6</v>
      </c>
    </row>
    <row r="18" spans="1:34" ht="21" customHeight="1">
      <c r="A18" s="69" t="s">
        <v>7</v>
      </c>
      <c r="B18" s="70" t="s">
        <v>14</v>
      </c>
      <c r="C18" s="70" t="s">
        <v>16</v>
      </c>
      <c r="D18" s="3" t="s">
        <v>18</v>
      </c>
      <c r="E18" s="3">
        <v>7</v>
      </c>
      <c r="F18" s="3"/>
      <c r="G18" s="3" t="s">
        <v>22</v>
      </c>
      <c r="H18" s="71" t="s">
        <v>756</v>
      </c>
      <c r="I18" s="72">
        <v>1979</v>
      </c>
      <c r="J18" s="72">
        <v>1983</v>
      </c>
      <c r="K18" s="115">
        <v>0.5</v>
      </c>
      <c r="L18" s="115">
        <v>0.5</v>
      </c>
      <c r="M18" s="115">
        <v>0.5</v>
      </c>
      <c r="N18" s="115">
        <v>0.5</v>
      </c>
      <c r="O18" s="115">
        <v>0.5</v>
      </c>
      <c r="P18" s="115">
        <v>0.4</v>
      </c>
      <c r="Q18" s="115">
        <v>0.8</v>
      </c>
      <c r="R18" s="115">
        <v>0.8</v>
      </c>
      <c r="S18" s="115">
        <v>0.5</v>
      </c>
      <c r="T18" s="115">
        <v>0.8</v>
      </c>
      <c r="U18" s="115">
        <v>0.8</v>
      </c>
      <c r="V18" s="115">
        <v>0.6</v>
      </c>
      <c r="W18" s="116">
        <v>41355</v>
      </c>
      <c r="X18" s="116"/>
      <c r="Y18" s="117"/>
      <c r="AA18" s="84">
        <v>0.5</v>
      </c>
      <c r="AB18" s="84">
        <v>0.5</v>
      </c>
      <c r="AC18" s="84">
        <v>0.5</v>
      </c>
      <c r="AD18" s="84">
        <v>0.4</v>
      </c>
      <c r="AE18" s="84">
        <v>0.8</v>
      </c>
      <c r="AF18" s="84">
        <v>0.5</v>
      </c>
      <c r="AG18" s="84">
        <v>0.8</v>
      </c>
      <c r="AH18" s="84">
        <v>0.6</v>
      </c>
    </row>
    <row r="19" spans="1:34" ht="21" customHeight="1">
      <c r="A19" s="69" t="s">
        <v>8</v>
      </c>
      <c r="B19" s="70" t="s">
        <v>14</v>
      </c>
      <c r="C19" s="70" t="s">
        <v>16</v>
      </c>
      <c r="D19" s="3" t="s">
        <v>18</v>
      </c>
      <c r="E19" s="3">
        <v>8</v>
      </c>
      <c r="F19" s="3"/>
      <c r="G19" s="3" t="s">
        <v>22</v>
      </c>
      <c r="H19" s="71" t="s">
        <v>757</v>
      </c>
      <c r="I19" s="72">
        <v>1984</v>
      </c>
      <c r="J19" s="72">
        <v>1994</v>
      </c>
      <c r="K19" s="115">
        <v>0.4</v>
      </c>
      <c r="L19" s="115">
        <v>0.4</v>
      </c>
      <c r="M19" s="115">
        <v>0.4</v>
      </c>
      <c r="N19" s="115">
        <v>0.4</v>
      </c>
      <c r="O19" s="115">
        <v>0.4</v>
      </c>
      <c r="P19" s="115">
        <v>0.3</v>
      </c>
      <c r="Q19" s="115">
        <v>0.6</v>
      </c>
      <c r="R19" s="115">
        <v>0.6</v>
      </c>
      <c r="S19" s="115">
        <v>0.4</v>
      </c>
      <c r="T19" s="115">
        <v>0.6</v>
      </c>
      <c r="U19" s="115">
        <v>0.6</v>
      </c>
      <c r="V19" s="115">
        <v>0.4</v>
      </c>
      <c r="W19" s="116">
        <v>41355</v>
      </c>
      <c r="X19" s="116"/>
      <c r="Y19" s="117"/>
      <c r="AA19" s="84">
        <v>0.4</v>
      </c>
      <c r="AB19" s="84">
        <v>0.4</v>
      </c>
      <c r="AC19" s="84">
        <v>0.4</v>
      </c>
      <c r="AD19" s="84">
        <v>0.3</v>
      </c>
      <c r="AE19" s="84">
        <v>0.6</v>
      </c>
      <c r="AF19" s="84">
        <v>0.4</v>
      </c>
      <c r="AG19" s="84">
        <v>0.6</v>
      </c>
      <c r="AH19" s="84">
        <v>0.4</v>
      </c>
    </row>
    <row r="20" spans="1:34" ht="21" customHeight="1">
      <c r="A20" s="69" t="s">
        <v>9</v>
      </c>
      <c r="B20" s="70" t="s">
        <v>14</v>
      </c>
      <c r="C20" s="70" t="s">
        <v>16</v>
      </c>
      <c r="D20" s="3" t="s">
        <v>18</v>
      </c>
      <c r="E20" s="3">
        <v>9</v>
      </c>
      <c r="F20" s="3"/>
      <c r="G20" s="3" t="s">
        <v>22</v>
      </c>
      <c r="H20" s="71" t="s">
        <v>758</v>
      </c>
      <c r="I20" s="72">
        <v>1995</v>
      </c>
      <c r="J20" s="72">
        <v>2001</v>
      </c>
      <c r="K20" s="115">
        <v>0.3</v>
      </c>
      <c r="L20" s="115">
        <v>0.3</v>
      </c>
      <c r="M20" s="115">
        <v>0.3</v>
      </c>
      <c r="N20" s="115">
        <v>0.3</v>
      </c>
      <c r="O20" s="115">
        <v>0.3</v>
      </c>
      <c r="P20" s="115">
        <v>0.3</v>
      </c>
      <c r="Q20" s="115">
        <v>0.5</v>
      </c>
      <c r="R20" s="115">
        <v>0.5</v>
      </c>
      <c r="S20" s="115">
        <v>0.4</v>
      </c>
      <c r="T20" s="115">
        <v>0.6</v>
      </c>
      <c r="U20" s="115">
        <v>0.6</v>
      </c>
      <c r="V20" s="115">
        <v>0.4</v>
      </c>
      <c r="W20" s="116">
        <v>41355</v>
      </c>
      <c r="X20" s="116"/>
      <c r="Y20" s="117"/>
      <c r="AA20" s="84">
        <v>0.3</v>
      </c>
      <c r="AB20" s="84">
        <v>0.3</v>
      </c>
      <c r="AC20" s="84">
        <v>0.3</v>
      </c>
      <c r="AD20" s="84">
        <v>0.3</v>
      </c>
      <c r="AE20" s="84">
        <v>0.5</v>
      </c>
      <c r="AF20" s="84">
        <v>0.4</v>
      </c>
      <c r="AG20" s="84">
        <v>0.6</v>
      </c>
      <c r="AH20" s="84">
        <v>0.4</v>
      </c>
    </row>
    <row r="21" spans="1:34" ht="21" customHeight="1">
      <c r="A21" s="69" t="s">
        <v>10</v>
      </c>
      <c r="B21" s="70" t="s">
        <v>14</v>
      </c>
      <c r="C21" s="70" t="s">
        <v>16</v>
      </c>
      <c r="D21" s="3" t="s">
        <v>18</v>
      </c>
      <c r="E21" s="3">
        <v>10</v>
      </c>
      <c r="F21" s="3"/>
      <c r="G21" s="3" t="s">
        <v>22</v>
      </c>
      <c r="H21" s="71" t="s">
        <v>759</v>
      </c>
      <c r="I21" s="72">
        <v>2002</v>
      </c>
      <c r="J21" s="72">
        <v>2009</v>
      </c>
      <c r="K21" s="115">
        <v>0.23</v>
      </c>
      <c r="L21" s="115">
        <v>0.23</v>
      </c>
      <c r="M21" s="115">
        <v>0.23</v>
      </c>
      <c r="N21" s="115">
        <v>0.3</v>
      </c>
      <c r="O21" s="115">
        <v>0.3</v>
      </c>
      <c r="P21" s="115">
        <v>0.24</v>
      </c>
      <c r="Q21" s="115">
        <v>0.34</v>
      </c>
      <c r="R21" s="115">
        <v>0.34</v>
      </c>
      <c r="S21" s="115">
        <v>0.2</v>
      </c>
      <c r="T21" s="115">
        <v>0.33</v>
      </c>
      <c r="U21" s="115">
        <v>0.33</v>
      </c>
      <c r="V21" s="115">
        <v>0.33</v>
      </c>
      <c r="W21" s="116">
        <v>41355</v>
      </c>
      <c r="X21" s="116"/>
      <c r="Y21" s="117"/>
    </row>
    <row r="22" spans="1:34" ht="21" customHeight="1">
      <c r="A22" s="69" t="s">
        <v>11</v>
      </c>
      <c r="B22" s="70" t="s">
        <v>14</v>
      </c>
      <c r="C22" s="70" t="s">
        <v>16</v>
      </c>
      <c r="D22" s="3" t="s">
        <v>18</v>
      </c>
      <c r="E22" s="3">
        <v>11</v>
      </c>
      <c r="F22" s="3"/>
      <c r="G22" s="3" t="s">
        <v>23</v>
      </c>
      <c r="H22" s="71" t="s">
        <v>760</v>
      </c>
      <c r="I22" s="72">
        <v>2010</v>
      </c>
      <c r="J22" s="72">
        <v>2015</v>
      </c>
      <c r="K22" s="115">
        <v>0.12</v>
      </c>
      <c r="L22" s="115">
        <v>0.12</v>
      </c>
      <c r="M22" s="115">
        <v>0.12</v>
      </c>
      <c r="N22" s="115">
        <v>0.12</v>
      </c>
      <c r="O22" s="115">
        <v>0.12</v>
      </c>
      <c r="P22" s="115">
        <v>0.12</v>
      </c>
      <c r="Q22" s="115">
        <v>0.17</v>
      </c>
      <c r="R22" s="115">
        <v>0.17</v>
      </c>
      <c r="S22" s="115">
        <v>0.17</v>
      </c>
      <c r="T22" s="115">
        <v>0.2</v>
      </c>
      <c r="U22" s="115">
        <v>0.2</v>
      </c>
      <c r="V22" s="115">
        <v>0.2</v>
      </c>
      <c r="W22" s="116">
        <v>41603</v>
      </c>
      <c r="X22" s="116"/>
      <c r="Y22" s="117"/>
    </row>
    <row r="23" spans="1:34" ht="21" customHeight="1">
      <c r="A23" s="69" t="s">
        <v>12</v>
      </c>
      <c r="B23" s="70" t="s">
        <v>14</v>
      </c>
      <c r="C23" s="70" t="s">
        <v>16</v>
      </c>
      <c r="D23" s="3" t="s">
        <v>18</v>
      </c>
      <c r="E23" s="3">
        <v>12</v>
      </c>
      <c r="F23" s="3"/>
      <c r="G23" s="3" t="s">
        <v>24</v>
      </c>
      <c r="H23" s="71" t="s">
        <v>761</v>
      </c>
      <c r="I23" s="72">
        <v>2016</v>
      </c>
      <c r="J23" s="72">
        <v>9999</v>
      </c>
      <c r="K23" s="115">
        <v>0.12</v>
      </c>
      <c r="L23" s="115">
        <v>0.12</v>
      </c>
      <c r="M23" s="115">
        <v>0.12</v>
      </c>
      <c r="N23" s="115">
        <v>0.12</v>
      </c>
      <c r="O23" s="115">
        <v>0.12</v>
      </c>
      <c r="P23" s="115">
        <v>0.12</v>
      </c>
      <c r="Q23" s="115">
        <v>0.17</v>
      </c>
      <c r="R23" s="115">
        <v>0.17</v>
      </c>
      <c r="S23" s="115">
        <v>0.17</v>
      </c>
      <c r="T23" s="115">
        <v>0.2</v>
      </c>
      <c r="U23" s="115">
        <v>0.2</v>
      </c>
      <c r="V23" s="115">
        <v>0.2</v>
      </c>
      <c r="W23" s="116">
        <v>41912</v>
      </c>
      <c r="X23" s="116"/>
      <c r="Y23" s="117"/>
    </row>
    <row r="24" spans="1:34" ht="21" customHeight="1">
      <c r="A24" s="69" t="s">
        <v>762</v>
      </c>
      <c r="B24" s="70" t="s">
        <v>341</v>
      </c>
      <c r="C24" s="70" t="s">
        <v>16</v>
      </c>
      <c r="D24" s="3" t="s">
        <v>342</v>
      </c>
      <c r="E24" s="3">
        <v>1</v>
      </c>
      <c r="F24" s="3" t="s">
        <v>302</v>
      </c>
      <c r="G24" s="3" t="s">
        <v>309</v>
      </c>
      <c r="H24" s="71" t="s">
        <v>750</v>
      </c>
      <c r="I24" s="72">
        <v>0</v>
      </c>
      <c r="J24" s="72">
        <v>1859</v>
      </c>
      <c r="K24" s="115">
        <v>2</v>
      </c>
      <c r="L24" s="115">
        <v>2</v>
      </c>
      <c r="M24" s="115">
        <v>2</v>
      </c>
      <c r="N24" s="115">
        <v>1.1000000000000001</v>
      </c>
      <c r="O24" s="115">
        <v>1.3</v>
      </c>
      <c r="P24" s="115">
        <v>1</v>
      </c>
      <c r="Q24" s="115">
        <v>1.7</v>
      </c>
      <c r="R24" s="115">
        <v>1.7</v>
      </c>
      <c r="S24" s="115">
        <v>1.9</v>
      </c>
      <c r="T24" s="115">
        <v>1.2</v>
      </c>
      <c r="U24" s="115">
        <v>1.2</v>
      </c>
      <c r="V24" s="115">
        <v>1</v>
      </c>
      <c r="W24" s="116">
        <v>44008</v>
      </c>
      <c r="X24" s="116"/>
      <c r="Y24" s="117"/>
    </row>
    <row r="25" spans="1:34" ht="21" customHeight="1">
      <c r="A25" s="69" t="s">
        <v>763</v>
      </c>
      <c r="B25" s="70" t="s">
        <v>341</v>
      </c>
      <c r="C25" s="70" t="s">
        <v>16</v>
      </c>
      <c r="D25" s="3" t="s">
        <v>342</v>
      </c>
      <c r="E25" s="3">
        <v>2</v>
      </c>
      <c r="F25" s="3" t="s">
        <v>302</v>
      </c>
      <c r="G25" s="3" t="s">
        <v>309</v>
      </c>
      <c r="H25" s="71" t="s">
        <v>751</v>
      </c>
      <c r="I25" s="72">
        <v>1860</v>
      </c>
      <c r="J25" s="72">
        <v>1918</v>
      </c>
      <c r="K25" s="115">
        <v>2</v>
      </c>
      <c r="L25" s="115">
        <v>2</v>
      </c>
      <c r="M25" s="115">
        <v>2</v>
      </c>
      <c r="N25" s="115">
        <v>1.1000000000000001</v>
      </c>
      <c r="O25" s="115">
        <v>1.3</v>
      </c>
      <c r="P25" s="115">
        <v>1</v>
      </c>
      <c r="Q25" s="115">
        <v>1.7</v>
      </c>
      <c r="R25" s="115">
        <v>1.7</v>
      </c>
      <c r="S25" s="115">
        <v>1.9</v>
      </c>
      <c r="T25" s="115">
        <v>1.2</v>
      </c>
      <c r="U25" s="115">
        <v>1.2</v>
      </c>
      <c r="V25" s="115">
        <v>1</v>
      </c>
      <c r="W25" s="116">
        <v>44008</v>
      </c>
      <c r="X25" s="116"/>
      <c r="Y25" s="117"/>
    </row>
    <row r="26" spans="1:34" ht="21" customHeight="1">
      <c r="A26" s="69" t="s">
        <v>764</v>
      </c>
      <c r="B26" s="70" t="s">
        <v>341</v>
      </c>
      <c r="C26" s="70" t="s">
        <v>16</v>
      </c>
      <c r="D26" s="3" t="s">
        <v>342</v>
      </c>
      <c r="E26" s="3">
        <v>3</v>
      </c>
      <c r="F26" s="3" t="s">
        <v>302</v>
      </c>
      <c r="G26" s="3" t="s">
        <v>309</v>
      </c>
      <c r="H26" s="71" t="s">
        <v>752</v>
      </c>
      <c r="I26" s="72">
        <v>1919</v>
      </c>
      <c r="J26" s="72">
        <v>1948</v>
      </c>
      <c r="K26" s="115">
        <v>2</v>
      </c>
      <c r="L26" s="115">
        <v>2</v>
      </c>
      <c r="M26" s="115">
        <v>2</v>
      </c>
      <c r="N26" s="115">
        <v>1.1000000000000001</v>
      </c>
      <c r="O26" s="115">
        <v>1.3</v>
      </c>
      <c r="P26" s="115">
        <v>1</v>
      </c>
      <c r="Q26" s="115">
        <v>1.5</v>
      </c>
      <c r="R26" s="115">
        <v>1.5</v>
      </c>
      <c r="S26" s="115">
        <v>1.5</v>
      </c>
      <c r="T26" s="115">
        <v>1.2</v>
      </c>
      <c r="U26" s="115">
        <v>1.2</v>
      </c>
      <c r="V26" s="115">
        <v>1</v>
      </c>
      <c r="W26" s="116">
        <v>44008</v>
      </c>
      <c r="X26" s="116"/>
      <c r="Y26" s="117"/>
    </row>
    <row r="27" spans="1:34" ht="21" customHeight="1">
      <c r="A27" s="69" t="s">
        <v>765</v>
      </c>
      <c r="B27" s="70" t="s">
        <v>341</v>
      </c>
      <c r="C27" s="70" t="s">
        <v>16</v>
      </c>
      <c r="D27" s="3" t="s">
        <v>342</v>
      </c>
      <c r="E27" s="3">
        <v>4</v>
      </c>
      <c r="F27" s="3" t="s">
        <v>302</v>
      </c>
      <c r="G27" s="3" t="s">
        <v>309</v>
      </c>
      <c r="H27" s="71" t="s">
        <v>753</v>
      </c>
      <c r="I27" s="72">
        <v>1949</v>
      </c>
      <c r="J27" s="72">
        <v>1957</v>
      </c>
      <c r="K27" s="115">
        <v>1.6</v>
      </c>
      <c r="L27" s="115">
        <v>1.2</v>
      </c>
      <c r="M27" s="115">
        <v>1.6</v>
      </c>
      <c r="N27" s="115">
        <v>1.1000000000000001</v>
      </c>
      <c r="O27" s="115">
        <v>1.3</v>
      </c>
      <c r="P27" s="115">
        <v>1</v>
      </c>
      <c r="Q27" s="115">
        <v>1.3</v>
      </c>
      <c r="R27" s="115">
        <v>1.3</v>
      </c>
      <c r="S27" s="115">
        <v>1.3</v>
      </c>
      <c r="T27" s="115">
        <v>1.2</v>
      </c>
      <c r="U27" s="115">
        <v>1.2</v>
      </c>
      <c r="V27" s="115">
        <v>1</v>
      </c>
      <c r="W27" s="116">
        <v>44008</v>
      </c>
      <c r="X27" s="116"/>
      <c r="Y27" s="117"/>
    </row>
    <row r="28" spans="1:34" ht="21" customHeight="1">
      <c r="A28" s="69" t="s">
        <v>766</v>
      </c>
      <c r="B28" s="70" t="s">
        <v>341</v>
      </c>
      <c r="C28" s="70" t="s">
        <v>16</v>
      </c>
      <c r="D28" s="3" t="s">
        <v>342</v>
      </c>
      <c r="E28" s="3">
        <v>5</v>
      </c>
      <c r="F28" s="3" t="s">
        <v>302</v>
      </c>
      <c r="G28" s="3" t="s">
        <v>309</v>
      </c>
      <c r="H28" s="71" t="s">
        <v>754</v>
      </c>
      <c r="I28" s="72">
        <v>1958</v>
      </c>
      <c r="J28" s="72">
        <v>1968</v>
      </c>
      <c r="K28" s="115">
        <v>1.2</v>
      </c>
      <c r="L28" s="115">
        <v>1</v>
      </c>
      <c r="M28" s="115">
        <v>1.2</v>
      </c>
      <c r="N28" s="115">
        <v>1.1000000000000001</v>
      </c>
      <c r="O28" s="115">
        <v>1.3</v>
      </c>
      <c r="P28" s="115">
        <v>0.8</v>
      </c>
      <c r="Q28" s="115">
        <v>1.2</v>
      </c>
      <c r="R28" s="115">
        <v>1.2</v>
      </c>
      <c r="S28" s="115">
        <v>0.8</v>
      </c>
      <c r="T28" s="115">
        <v>1.2</v>
      </c>
      <c r="U28" s="115">
        <v>1.2</v>
      </c>
      <c r="V28" s="115">
        <v>0.8</v>
      </c>
      <c r="W28" s="116">
        <v>44008</v>
      </c>
      <c r="X28" s="116"/>
      <c r="Y28" s="117"/>
    </row>
    <row r="29" spans="1:34" ht="21" customHeight="1">
      <c r="A29" s="69" t="s">
        <v>767</v>
      </c>
      <c r="B29" s="70" t="s">
        <v>341</v>
      </c>
      <c r="C29" s="70" t="s">
        <v>16</v>
      </c>
      <c r="D29" s="3" t="s">
        <v>342</v>
      </c>
      <c r="E29" s="3">
        <v>6</v>
      </c>
      <c r="F29" s="3" t="s">
        <v>302</v>
      </c>
      <c r="G29" s="3" t="s">
        <v>309</v>
      </c>
      <c r="H29" s="71" t="s">
        <v>755</v>
      </c>
      <c r="I29" s="72">
        <v>1969</v>
      </c>
      <c r="J29" s="72">
        <v>1978</v>
      </c>
      <c r="K29" s="115">
        <v>0.8</v>
      </c>
      <c r="L29" s="115">
        <v>0.6</v>
      </c>
      <c r="M29" s="115">
        <v>0.8</v>
      </c>
      <c r="N29" s="115">
        <v>0.9</v>
      </c>
      <c r="O29" s="115">
        <v>1</v>
      </c>
      <c r="P29" s="115">
        <v>0.6</v>
      </c>
      <c r="Q29" s="115">
        <v>1</v>
      </c>
      <c r="R29" s="115">
        <v>1</v>
      </c>
      <c r="S29" s="115">
        <v>0.6</v>
      </c>
      <c r="T29" s="115">
        <v>1</v>
      </c>
      <c r="U29" s="115">
        <v>1</v>
      </c>
      <c r="V29" s="115">
        <v>0.6</v>
      </c>
      <c r="W29" s="116">
        <v>44008</v>
      </c>
      <c r="X29" s="116"/>
      <c r="Y29" s="117"/>
    </row>
    <row r="30" spans="1:34" ht="21" customHeight="1">
      <c r="A30" s="69" t="s">
        <v>768</v>
      </c>
      <c r="B30" s="70" t="s">
        <v>341</v>
      </c>
      <c r="C30" s="70" t="s">
        <v>16</v>
      </c>
      <c r="D30" s="3" t="s">
        <v>342</v>
      </c>
      <c r="E30" s="3">
        <v>7</v>
      </c>
      <c r="F30" s="3" t="s">
        <v>302</v>
      </c>
      <c r="G30" s="3" t="s">
        <v>309</v>
      </c>
      <c r="H30" s="71" t="s">
        <v>756</v>
      </c>
      <c r="I30" s="72">
        <v>1979</v>
      </c>
      <c r="J30" s="72">
        <v>1983</v>
      </c>
      <c r="K30" s="115">
        <v>0.6</v>
      </c>
      <c r="L30" s="115">
        <v>0.5</v>
      </c>
      <c r="M30" s="115">
        <v>0.6</v>
      </c>
      <c r="N30" s="115">
        <v>0.6</v>
      </c>
      <c r="O30" s="115">
        <v>0.7</v>
      </c>
      <c r="P30" s="115">
        <v>0.5</v>
      </c>
      <c r="Q30" s="115">
        <v>0.8</v>
      </c>
      <c r="R30" s="115">
        <v>0.8</v>
      </c>
      <c r="S30" s="115">
        <v>0.5</v>
      </c>
      <c r="T30" s="115">
        <v>0.8</v>
      </c>
      <c r="U30" s="115">
        <v>0.8</v>
      </c>
      <c r="V30" s="115">
        <v>0.6</v>
      </c>
      <c r="W30" s="116">
        <v>44008</v>
      </c>
      <c r="X30" s="116"/>
      <c r="Y30" s="117"/>
    </row>
    <row r="31" spans="1:34" ht="21" customHeight="1">
      <c r="A31" s="69" t="s">
        <v>769</v>
      </c>
      <c r="B31" s="70" t="s">
        <v>341</v>
      </c>
      <c r="C31" s="70" t="s">
        <v>16</v>
      </c>
      <c r="D31" s="3" t="s">
        <v>342</v>
      </c>
      <c r="E31" s="3">
        <v>8</v>
      </c>
      <c r="F31" s="3" t="s">
        <v>302</v>
      </c>
      <c r="G31" s="3" t="s">
        <v>309</v>
      </c>
      <c r="H31" s="71" t="s">
        <v>757</v>
      </c>
      <c r="I31" s="72">
        <v>1984</v>
      </c>
      <c r="J31" s="72">
        <v>1994</v>
      </c>
      <c r="K31" s="115">
        <v>0.4</v>
      </c>
      <c r="L31" s="115">
        <v>0.4</v>
      </c>
      <c r="M31" s="115">
        <v>0.4</v>
      </c>
      <c r="N31" s="115">
        <v>0.4</v>
      </c>
      <c r="O31" s="115">
        <v>0.4</v>
      </c>
      <c r="P31" s="115">
        <v>0.4</v>
      </c>
      <c r="Q31" s="115">
        <v>0.7</v>
      </c>
      <c r="R31" s="115">
        <v>0.7</v>
      </c>
      <c r="S31" s="115">
        <v>0.4</v>
      </c>
      <c r="T31" s="115">
        <v>0.6</v>
      </c>
      <c r="U31" s="115">
        <v>0.6</v>
      </c>
      <c r="V31" s="115">
        <v>0.4</v>
      </c>
      <c r="W31" s="116">
        <v>44008</v>
      </c>
      <c r="X31" s="116"/>
      <c r="Y31" s="117"/>
    </row>
    <row r="32" spans="1:34" ht="21" customHeight="1">
      <c r="A32" s="69" t="s">
        <v>770</v>
      </c>
      <c r="B32" s="70" t="s">
        <v>341</v>
      </c>
      <c r="C32" s="70" t="s">
        <v>16</v>
      </c>
      <c r="D32" s="3" t="s">
        <v>342</v>
      </c>
      <c r="E32" s="3">
        <v>9</v>
      </c>
      <c r="F32" s="3" t="s">
        <v>302</v>
      </c>
      <c r="G32" s="3" t="s">
        <v>309</v>
      </c>
      <c r="H32" s="71" t="s">
        <v>758</v>
      </c>
      <c r="I32" s="72">
        <v>1995</v>
      </c>
      <c r="J32" s="72">
        <v>2001</v>
      </c>
      <c r="K32" s="115">
        <v>0.25</v>
      </c>
      <c r="L32" s="115">
        <v>0.25</v>
      </c>
      <c r="M32" s="115">
        <v>0.25</v>
      </c>
      <c r="N32" s="115">
        <v>0.25</v>
      </c>
      <c r="O32" s="115">
        <v>0.25</v>
      </c>
      <c r="P32" s="115">
        <v>0.25</v>
      </c>
      <c r="Q32" s="115">
        <v>0.5</v>
      </c>
      <c r="R32" s="115">
        <v>0.5</v>
      </c>
      <c r="S32" s="115">
        <v>0.3</v>
      </c>
      <c r="T32" s="115">
        <v>0.4</v>
      </c>
      <c r="U32" s="115">
        <v>0.4</v>
      </c>
      <c r="V32" s="115">
        <v>0.4</v>
      </c>
      <c r="W32" s="116">
        <v>44008</v>
      </c>
      <c r="X32" s="116"/>
      <c r="Y32" s="117"/>
    </row>
    <row r="33" spans="1:25" ht="21" customHeight="1">
      <c r="A33" s="69" t="s">
        <v>771</v>
      </c>
      <c r="B33" s="70" t="s">
        <v>341</v>
      </c>
      <c r="C33" s="70" t="s">
        <v>16</v>
      </c>
      <c r="D33" s="3" t="s">
        <v>342</v>
      </c>
      <c r="E33" s="3">
        <v>10</v>
      </c>
      <c r="F33" s="3" t="s">
        <v>302</v>
      </c>
      <c r="G33" s="3" t="s">
        <v>309</v>
      </c>
      <c r="H33" s="71" t="s">
        <v>759</v>
      </c>
      <c r="I33" s="72">
        <v>2002</v>
      </c>
      <c r="J33" s="72">
        <v>2009</v>
      </c>
      <c r="K33" s="115">
        <v>0.18</v>
      </c>
      <c r="L33" s="115">
        <v>0.18</v>
      </c>
      <c r="M33" s="115">
        <v>0.18</v>
      </c>
      <c r="N33" s="115">
        <v>0.18</v>
      </c>
      <c r="O33" s="115">
        <v>0.18</v>
      </c>
      <c r="P33" s="115">
        <v>0.18</v>
      </c>
      <c r="Q33" s="115">
        <v>0.22</v>
      </c>
      <c r="R33" s="115">
        <v>0.22</v>
      </c>
      <c r="S33" s="115">
        <v>0.22</v>
      </c>
      <c r="T33" s="115">
        <v>0.26</v>
      </c>
      <c r="U33" s="115">
        <v>0.26</v>
      </c>
      <c r="V33" s="115">
        <v>0.26</v>
      </c>
      <c r="W33" s="116">
        <v>44008</v>
      </c>
      <c r="X33" s="116">
        <v>44249</v>
      </c>
      <c r="Y33" s="117"/>
    </row>
    <row r="34" spans="1:25" ht="21" customHeight="1">
      <c r="A34" s="69" t="s">
        <v>772</v>
      </c>
      <c r="B34" s="70" t="s">
        <v>341</v>
      </c>
      <c r="C34" s="70" t="s">
        <v>16</v>
      </c>
      <c r="D34" s="3" t="s">
        <v>342</v>
      </c>
      <c r="E34" s="3">
        <v>11</v>
      </c>
      <c r="F34" s="3" t="s">
        <v>302</v>
      </c>
      <c r="G34" s="3" t="s">
        <v>309</v>
      </c>
      <c r="H34" s="71" t="s">
        <v>760</v>
      </c>
      <c r="I34" s="72">
        <v>2010</v>
      </c>
      <c r="J34" s="72">
        <v>2015</v>
      </c>
      <c r="K34" s="115">
        <v>0.15</v>
      </c>
      <c r="L34" s="115">
        <v>0.15</v>
      </c>
      <c r="M34" s="115">
        <v>0.15</v>
      </c>
      <c r="N34" s="115">
        <v>0.15</v>
      </c>
      <c r="O34" s="115">
        <v>0.15</v>
      </c>
      <c r="P34" s="115">
        <v>0.15</v>
      </c>
      <c r="Q34" s="115">
        <v>0.2</v>
      </c>
      <c r="R34" s="115">
        <v>0.2</v>
      </c>
      <c r="S34" s="115">
        <v>0.2</v>
      </c>
      <c r="T34" s="115">
        <v>0.24</v>
      </c>
      <c r="U34" s="115">
        <v>0.24</v>
      </c>
      <c r="V34" s="115">
        <v>0.24</v>
      </c>
      <c r="W34" s="116">
        <v>44008</v>
      </c>
      <c r="X34" s="116">
        <v>44249</v>
      </c>
      <c r="Y34" s="117"/>
    </row>
    <row r="35" spans="1:25" ht="21" customHeight="1">
      <c r="A35" s="69" t="s">
        <v>773</v>
      </c>
      <c r="B35" s="70" t="s">
        <v>341</v>
      </c>
      <c r="C35" s="70" t="s">
        <v>16</v>
      </c>
      <c r="D35" s="3" t="s">
        <v>342</v>
      </c>
      <c r="E35" s="3">
        <v>12</v>
      </c>
      <c r="F35" s="3" t="s">
        <v>302</v>
      </c>
      <c r="G35" s="3" t="s">
        <v>309</v>
      </c>
      <c r="H35" s="71" t="s">
        <v>761</v>
      </c>
      <c r="I35" s="72">
        <v>2016</v>
      </c>
      <c r="J35" s="72">
        <v>9999</v>
      </c>
      <c r="K35" s="115">
        <v>0.15</v>
      </c>
      <c r="L35" s="115">
        <v>0.15</v>
      </c>
      <c r="M35" s="115">
        <v>0.15</v>
      </c>
      <c r="N35" s="115">
        <v>0.15</v>
      </c>
      <c r="O35" s="115">
        <v>0.15</v>
      </c>
      <c r="P35" s="115">
        <v>0.15</v>
      </c>
      <c r="Q35" s="115">
        <v>0.18</v>
      </c>
      <c r="R35" s="115">
        <v>0.18</v>
      </c>
      <c r="S35" s="115">
        <v>0.18</v>
      </c>
      <c r="T35" s="115">
        <v>0.18</v>
      </c>
      <c r="U35" s="115">
        <v>0.18</v>
      </c>
      <c r="V35" s="115">
        <v>0.18</v>
      </c>
      <c r="W35" s="116">
        <v>44008</v>
      </c>
      <c r="X35" s="116">
        <v>44249</v>
      </c>
      <c r="Y35" s="117"/>
    </row>
    <row r="36" spans="1:25" ht="21" customHeight="1">
      <c r="A36" s="69" t="s">
        <v>774</v>
      </c>
      <c r="B36" s="70" t="s">
        <v>14</v>
      </c>
      <c r="C36" s="70" t="s">
        <v>343</v>
      </c>
      <c r="D36" s="3" t="s">
        <v>18</v>
      </c>
      <c r="E36" s="3">
        <v>1</v>
      </c>
      <c r="F36" s="3"/>
      <c r="G36" s="3" t="s">
        <v>344</v>
      </c>
      <c r="H36" s="71" t="s">
        <v>775</v>
      </c>
      <c r="I36" s="72">
        <v>0</v>
      </c>
      <c r="J36" s="72">
        <v>1945</v>
      </c>
      <c r="K36" s="115">
        <v>0.77</v>
      </c>
      <c r="L36" s="115">
        <v>0.9</v>
      </c>
      <c r="M36" s="115">
        <v>0.77</v>
      </c>
      <c r="N36" s="115">
        <v>0.77</v>
      </c>
      <c r="O36" s="115">
        <v>0.9</v>
      </c>
      <c r="P36" s="115">
        <v>0.77</v>
      </c>
      <c r="Q36" s="115">
        <v>1.75</v>
      </c>
      <c r="R36" s="115">
        <v>1.75</v>
      </c>
      <c r="S36" s="115">
        <v>0.4</v>
      </c>
      <c r="T36" s="115">
        <v>2</v>
      </c>
      <c r="U36" s="115">
        <v>2</v>
      </c>
      <c r="V36" s="115">
        <v>2</v>
      </c>
      <c r="W36" s="116">
        <v>41355</v>
      </c>
      <c r="X36" s="116"/>
      <c r="Y36" s="117" t="s">
        <v>345</v>
      </c>
    </row>
    <row r="37" spans="1:25" ht="21" customHeight="1">
      <c r="A37" s="69" t="s">
        <v>776</v>
      </c>
      <c r="B37" s="70" t="s">
        <v>14</v>
      </c>
      <c r="C37" s="70" t="s">
        <v>343</v>
      </c>
      <c r="D37" s="3" t="s">
        <v>18</v>
      </c>
      <c r="E37" s="3">
        <v>2</v>
      </c>
      <c r="F37" s="3"/>
      <c r="G37" s="3" t="s">
        <v>344</v>
      </c>
      <c r="H37" s="71" t="s">
        <v>777</v>
      </c>
      <c r="I37" s="72">
        <v>1946</v>
      </c>
      <c r="J37" s="72">
        <v>1966</v>
      </c>
      <c r="K37" s="115">
        <v>0.56999999999999995</v>
      </c>
      <c r="L37" s="115">
        <v>0.5</v>
      </c>
      <c r="M37" s="115">
        <v>0.56999999999999995</v>
      </c>
      <c r="N37" s="115">
        <v>0.5</v>
      </c>
      <c r="O37" s="115">
        <v>0.5</v>
      </c>
      <c r="P37" s="115">
        <v>0.56999999999999995</v>
      </c>
      <c r="Q37" s="115">
        <v>1.29</v>
      </c>
      <c r="R37" s="115">
        <v>1.29</v>
      </c>
      <c r="S37" s="115">
        <v>0.4</v>
      </c>
      <c r="T37" s="115">
        <v>1.65</v>
      </c>
      <c r="U37" s="115">
        <v>1.65</v>
      </c>
      <c r="V37" s="115">
        <v>1.65</v>
      </c>
      <c r="W37" s="116">
        <v>41355</v>
      </c>
      <c r="X37" s="116"/>
      <c r="Y37" s="117" t="s">
        <v>345</v>
      </c>
    </row>
    <row r="38" spans="1:25" ht="21" customHeight="1">
      <c r="A38" s="69" t="s">
        <v>778</v>
      </c>
      <c r="B38" s="70" t="s">
        <v>14</v>
      </c>
      <c r="C38" s="70" t="s">
        <v>343</v>
      </c>
      <c r="D38" s="3" t="s">
        <v>18</v>
      </c>
      <c r="E38" s="3">
        <v>3</v>
      </c>
      <c r="F38" s="3"/>
      <c r="G38" s="3" t="s">
        <v>344</v>
      </c>
      <c r="H38" s="71" t="s">
        <v>779</v>
      </c>
      <c r="I38" s="72">
        <v>1967</v>
      </c>
      <c r="J38" s="72">
        <v>1985</v>
      </c>
      <c r="K38" s="115">
        <v>0.56999999999999995</v>
      </c>
      <c r="L38" s="115">
        <v>0.5</v>
      </c>
      <c r="M38" s="115">
        <v>0.56999999999999995</v>
      </c>
      <c r="N38" s="115">
        <v>0.5</v>
      </c>
      <c r="O38" s="115">
        <v>0.5</v>
      </c>
      <c r="P38" s="115">
        <v>0.56999999999999995</v>
      </c>
      <c r="Q38" s="115">
        <v>1.29</v>
      </c>
      <c r="R38" s="115">
        <v>1.29</v>
      </c>
      <c r="S38" s="115">
        <v>0.4</v>
      </c>
      <c r="T38" s="115">
        <v>1.45</v>
      </c>
      <c r="U38" s="115">
        <v>1.45</v>
      </c>
      <c r="V38" s="115">
        <v>1.45</v>
      </c>
      <c r="W38" s="116">
        <v>41355</v>
      </c>
      <c r="X38" s="116"/>
      <c r="Y38" s="117" t="s">
        <v>345</v>
      </c>
    </row>
    <row r="39" spans="1:25" ht="21" customHeight="1">
      <c r="A39" s="69" t="s">
        <v>780</v>
      </c>
      <c r="B39" s="70" t="s">
        <v>14</v>
      </c>
      <c r="C39" s="70" t="s">
        <v>343</v>
      </c>
      <c r="D39" s="3" t="s">
        <v>18</v>
      </c>
      <c r="E39" s="3">
        <v>4</v>
      </c>
      <c r="F39" s="3"/>
      <c r="G39" s="3" t="s">
        <v>344</v>
      </c>
      <c r="H39" s="71" t="s">
        <v>781</v>
      </c>
      <c r="I39" s="72">
        <v>1986</v>
      </c>
      <c r="J39" s="72">
        <v>1992</v>
      </c>
      <c r="K39" s="115">
        <v>0.47</v>
      </c>
      <c r="L39" s="115">
        <v>0.4</v>
      </c>
      <c r="M39" s="115">
        <v>0.47</v>
      </c>
      <c r="N39" s="115">
        <v>0.4</v>
      </c>
      <c r="O39" s="115">
        <v>0.4</v>
      </c>
      <c r="P39" s="115">
        <v>0.47</v>
      </c>
      <c r="Q39" s="115">
        <v>0.98</v>
      </c>
      <c r="R39" s="115">
        <v>0.98</v>
      </c>
      <c r="S39" s="115">
        <v>0.4</v>
      </c>
      <c r="T39" s="115">
        <v>1.25</v>
      </c>
      <c r="U39" s="115">
        <v>1.25</v>
      </c>
      <c r="V39" s="115">
        <v>1.25</v>
      </c>
      <c r="W39" s="116">
        <v>41355</v>
      </c>
      <c r="X39" s="116"/>
      <c r="Y39" s="117" t="s">
        <v>345</v>
      </c>
    </row>
    <row r="40" spans="1:25" ht="21" customHeight="1">
      <c r="A40" s="69" t="s">
        <v>782</v>
      </c>
      <c r="B40" s="70" t="s">
        <v>14</v>
      </c>
      <c r="C40" s="70" t="s">
        <v>343</v>
      </c>
      <c r="D40" s="3" t="s">
        <v>18</v>
      </c>
      <c r="E40" s="3">
        <v>5</v>
      </c>
      <c r="F40" s="3"/>
      <c r="G40" s="3" t="s">
        <v>344</v>
      </c>
      <c r="H40" s="71" t="s">
        <v>783</v>
      </c>
      <c r="I40" s="72">
        <v>1993</v>
      </c>
      <c r="J40" s="72">
        <v>2002</v>
      </c>
      <c r="K40" s="115">
        <v>0.47</v>
      </c>
      <c r="L40" s="115">
        <v>0.4</v>
      </c>
      <c r="M40" s="115">
        <v>0.47</v>
      </c>
      <c r="N40" s="115">
        <v>0.4</v>
      </c>
      <c r="O40" s="115">
        <v>0.4</v>
      </c>
      <c r="P40" s="115">
        <v>0.47</v>
      </c>
      <c r="Q40" s="115">
        <v>0.19</v>
      </c>
      <c r="R40" s="115">
        <v>0.19</v>
      </c>
      <c r="S40" s="115">
        <v>0.4</v>
      </c>
      <c r="T40" s="115">
        <v>0.9</v>
      </c>
      <c r="U40" s="115">
        <v>0.9</v>
      </c>
      <c r="V40" s="115">
        <v>0.9</v>
      </c>
      <c r="W40" s="116">
        <v>41355</v>
      </c>
      <c r="X40" s="116"/>
      <c r="Y40" s="117" t="s">
        <v>345</v>
      </c>
    </row>
    <row r="41" spans="1:25" ht="21" customHeight="1">
      <c r="A41" s="69" t="s">
        <v>784</v>
      </c>
      <c r="B41" s="70" t="s">
        <v>14</v>
      </c>
      <c r="C41" s="70" t="s">
        <v>343</v>
      </c>
      <c r="D41" s="3" t="s">
        <v>18</v>
      </c>
      <c r="E41" s="3">
        <v>6</v>
      </c>
      <c r="F41" s="3"/>
      <c r="G41" s="3" t="s">
        <v>344</v>
      </c>
      <c r="H41" s="71" t="s">
        <v>785</v>
      </c>
      <c r="I41" s="72">
        <v>2003</v>
      </c>
      <c r="J41" s="72">
        <v>2008</v>
      </c>
      <c r="K41" s="115">
        <v>0.37</v>
      </c>
      <c r="L41" s="115">
        <v>0.3</v>
      </c>
      <c r="M41" s="115">
        <v>0.37</v>
      </c>
      <c r="N41" s="115">
        <v>0.3</v>
      </c>
      <c r="O41" s="115">
        <v>0.3</v>
      </c>
      <c r="P41" s="115">
        <v>0.37</v>
      </c>
      <c r="Q41" s="115">
        <v>0.19</v>
      </c>
      <c r="R41" s="115">
        <v>0.19</v>
      </c>
      <c r="S41" s="115">
        <v>0.4</v>
      </c>
      <c r="T41" s="115">
        <v>0.7</v>
      </c>
      <c r="U41" s="115">
        <v>0.7</v>
      </c>
      <c r="V41" s="115">
        <v>0.7</v>
      </c>
      <c r="W41" s="116">
        <v>41355</v>
      </c>
      <c r="X41" s="116"/>
      <c r="Y41" s="117" t="s">
        <v>345</v>
      </c>
    </row>
    <row r="42" spans="1:25" ht="21" customHeight="1">
      <c r="A42" s="69" t="s">
        <v>786</v>
      </c>
      <c r="B42" s="70" t="s">
        <v>14</v>
      </c>
      <c r="C42" s="70" t="s">
        <v>343</v>
      </c>
      <c r="D42" s="3" t="s">
        <v>18</v>
      </c>
      <c r="E42" s="3">
        <v>7</v>
      </c>
      <c r="F42" s="3"/>
      <c r="G42" s="3" t="s">
        <v>344</v>
      </c>
      <c r="H42" s="71" t="s">
        <v>787</v>
      </c>
      <c r="I42" s="72">
        <v>2009</v>
      </c>
      <c r="J42" s="72">
        <v>9999</v>
      </c>
      <c r="K42" s="115">
        <v>0.28000000000000003</v>
      </c>
      <c r="L42" s="115">
        <v>0.25</v>
      </c>
      <c r="M42" s="115">
        <v>0.28000000000000003</v>
      </c>
      <c r="N42" s="115">
        <v>0.25</v>
      </c>
      <c r="O42" s="115">
        <v>0.25</v>
      </c>
      <c r="P42" s="115">
        <v>0.28000000000000003</v>
      </c>
      <c r="Q42" s="115">
        <v>0.19</v>
      </c>
      <c r="R42" s="115">
        <v>0.19</v>
      </c>
      <c r="S42" s="115">
        <v>0.4</v>
      </c>
      <c r="T42" s="115">
        <v>0.55000000000000004</v>
      </c>
      <c r="U42" s="115">
        <v>0.55000000000000004</v>
      </c>
      <c r="V42" s="115">
        <v>0.55000000000000004</v>
      </c>
      <c r="W42" s="116">
        <v>41355</v>
      </c>
      <c r="X42" s="116"/>
      <c r="Y42" s="117" t="s">
        <v>345</v>
      </c>
    </row>
    <row r="43" spans="1:25" ht="21" customHeight="1">
      <c r="A43" s="69" t="s">
        <v>788</v>
      </c>
      <c r="B43" s="70" t="s">
        <v>14</v>
      </c>
      <c r="C43" s="70" t="s">
        <v>346</v>
      </c>
      <c r="D43" s="3" t="s">
        <v>18</v>
      </c>
      <c r="E43" s="3">
        <v>1</v>
      </c>
      <c r="F43" s="3"/>
      <c r="G43" s="3" t="s">
        <v>344</v>
      </c>
      <c r="H43" s="71" t="s">
        <v>789</v>
      </c>
      <c r="I43" s="72">
        <v>0</v>
      </c>
      <c r="J43" s="72">
        <v>1960</v>
      </c>
      <c r="K43" s="115">
        <v>0.33</v>
      </c>
      <c r="L43" s="115">
        <v>0.33</v>
      </c>
      <c r="M43" s="115">
        <v>0.33</v>
      </c>
      <c r="N43" s="115">
        <v>0.33</v>
      </c>
      <c r="O43" s="115">
        <v>0.33</v>
      </c>
      <c r="P43" s="115">
        <v>0.33</v>
      </c>
      <c r="Q43" s="115">
        <v>0.83</v>
      </c>
      <c r="R43" s="115">
        <v>0.83</v>
      </c>
      <c r="S43" s="115">
        <v>0.53</v>
      </c>
      <c r="T43" s="115">
        <v>0.32</v>
      </c>
      <c r="U43" s="115">
        <v>0.32</v>
      </c>
      <c r="V43" s="115">
        <v>0.32</v>
      </c>
      <c r="W43" s="116">
        <v>41355</v>
      </c>
      <c r="X43" s="116"/>
      <c r="Y43" s="117" t="s">
        <v>345</v>
      </c>
    </row>
    <row r="44" spans="1:25" ht="21" customHeight="1">
      <c r="A44" s="69" t="s">
        <v>790</v>
      </c>
      <c r="B44" s="70" t="s">
        <v>14</v>
      </c>
      <c r="C44" s="70" t="s">
        <v>346</v>
      </c>
      <c r="D44" s="3" t="s">
        <v>18</v>
      </c>
      <c r="E44" s="3">
        <v>2</v>
      </c>
      <c r="F44" s="3"/>
      <c r="G44" s="3" t="s">
        <v>344</v>
      </c>
      <c r="H44" s="71" t="s">
        <v>791</v>
      </c>
      <c r="I44" s="72">
        <v>1961</v>
      </c>
      <c r="J44" s="72">
        <v>1975</v>
      </c>
      <c r="K44" s="115">
        <v>0.21</v>
      </c>
      <c r="L44" s="115">
        <v>0.21</v>
      </c>
      <c r="M44" s="115">
        <v>0.21</v>
      </c>
      <c r="N44" s="115">
        <v>0.21</v>
      </c>
      <c r="O44" s="115">
        <v>0.21</v>
      </c>
      <c r="P44" s="115">
        <v>0.21</v>
      </c>
      <c r="Q44" s="115">
        <v>0.36</v>
      </c>
      <c r="R44" s="115">
        <v>0.36</v>
      </c>
      <c r="S44" s="115">
        <v>0.36</v>
      </c>
      <c r="T44" s="115">
        <v>0.3</v>
      </c>
      <c r="U44" s="115">
        <v>0.3</v>
      </c>
      <c r="V44" s="115">
        <v>0.3</v>
      </c>
      <c r="W44" s="116">
        <v>41355</v>
      </c>
      <c r="X44" s="116"/>
      <c r="Y44" s="117" t="s">
        <v>345</v>
      </c>
    </row>
    <row r="45" spans="1:25" ht="21" customHeight="1">
      <c r="A45" s="69" t="s">
        <v>792</v>
      </c>
      <c r="B45" s="70" t="s">
        <v>14</v>
      </c>
      <c r="C45" s="70" t="s">
        <v>346</v>
      </c>
      <c r="D45" s="3" t="s">
        <v>18</v>
      </c>
      <c r="E45" s="3">
        <v>3</v>
      </c>
      <c r="F45" s="3"/>
      <c r="G45" s="3" t="s">
        <v>344</v>
      </c>
      <c r="H45" s="71" t="s">
        <v>793</v>
      </c>
      <c r="I45" s="72">
        <v>1976</v>
      </c>
      <c r="J45" s="72">
        <v>1985</v>
      </c>
      <c r="K45" s="115">
        <v>0.16</v>
      </c>
      <c r="L45" s="115">
        <v>0.16</v>
      </c>
      <c r="M45" s="115">
        <v>0.16</v>
      </c>
      <c r="N45" s="115">
        <v>0.16</v>
      </c>
      <c r="O45" s="115">
        <v>0.16</v>
      </c>
      <c r="P45" s="115">
        <v>0.16</v>
      </c>
      <c r="Q45" s="115">
        <v>0.27</v>
      </c>
      <c r="R45" s="115">
        <v>0.27</v>
      </c>
      <c r="S45" s="115">
        <v>0.27</v>
      </c>
      <c r="T45" s="115">
        <v>0.28000000000000003</v>
      </c>
      <c r="U45" s="115">
        <v>0.28000000000000003</v>
      </c>
      <c r="V45" s="115">
        <v>0.28000000000000003</v>
      </c>
      <c r="W45" s="116">
        <v>41355</v>
      </c>
      <c r="X45" s="116"/>
      <c r="Y45" s="117" t="s">
        <v>345</v>
      </c>
    </row>
    <row r="46" spans="1:25" ht="21" customHeight="1">
      <c r="A46" s="69" t="s">
        <v>794</v>
      </c>
      <c r="B46" s="70" t="s">
        <v>14</v>
      </c>
      <c r="C46" s="70" t="s">
        <v>346</v>
      </c>
      <c r="D46" s="3" t="s">
        <v>18</v>
      </c>
      <c r="E46" s="3">
        <v>4</v>
      </c>
      <c r="F46" s="3"/>
      <c r="G46" s="3" t="s">
        <v>344</v>
      </c>
      <c r="H46" s="71" t="s">
        <v>795</v>
      </c>
      <c r="I46" s="72">
        <v>1986</v>
      </c>
      <c r="J46" s="72">
        <v>1995</v>
      </c>
      <c r="K46" s="115">
        <v>0.14000000000000001</v>
      </c>
      <c r="L46" s="115">
        <v>0.14000000000000001</v>
      </c>
      <c r="M46" s="115">
        <v>0.14000000000000001</v>
      </c>
      <c r="N46" s="115">
        <v>0.14000000000000001</v>
      </c>
      <c r="O46" s="115">
        <v>0.14000000000000001</v>
      </c>
      <c r="P46" s="115">
        <v>0.14000000000000001</v>
      </c>
      <c r="Q46" s="115">
        <v>0.2</v>
      </c>
      <c r="R46" s="115">
        <v>0.2</v>
      </c>
      <c r="S46" s="115">
        <v>0.2</v>
      </c>
      <c r="T46" s="115">
        <v>0.25</v>
      </c>
      <c r="U46" s="115">
        <v>0.25</v>
      </c>
      <c r="V46" s="115">
        <v>0.25</v>
      </c>
      <c r="W46" s="116">
        <v>41355</v>
      </c>
      <c r="X46" s="116"/>
      <c r="Y46" s="117" t="s">
        <v>345</v>
      </c>
    </row>
    <row r="47" spans="1:25" ht="21" customHeight="1">
      <c r="A47" s="69" t="s">
        <v>796</v>
      </c>
      <c r="B47" s="70" t="s">
        <v>14</v>
      </c>
      <c r="C47" s="70" t="s">
        <v>346</v>
      </c>
      <c r="D47" s="3" t="s">
        <v>18</v>
      </c>
      <c r="E47" s="3">
        <v>5</v>
      </c>
      <c r="F47" s="3"/>
      <c r="G47" s="3" t="s">
        <v>344</v>
      </c>
      <c r="H47" s="71" t="s">
        <v>797</v>
      </c>
      <c r="I47" s="72">
        <v>1996</v>
      </c>
      <c r="J47" s="72">
        <v>2005</v>
      </c>
      <c r="K47" s="115">
        <v>0.13</v>
      </c>
      <c r="L47" s="115">
        <v>0.13</v>
      </c>
      <c r="M47" s="115">
        <v>0.13</v>
      </c>
      <c r="N47" s="115">
        <v>0.13</v>
      </c>
      <c r="O47" s="115">
        <v>0.13</v>
      </c>
      <c r="P47" s="115">
        <v>0.13</v>
      </c>
      <c r="Q47" s="115">
        <v>0.2</v>
      </c>
      <c r="R47" s="115">
        <v>0.2</v>
      </c>
      <c r="S47" s="115">
        <v>0.2</v>
      </c>
      <c r="T47" s="115">
        <v>0.2</v>
      </c>
      <c r="U47" s="115">
        <v>0.2</v>
      </c>
      <c r="V47" s="115">
        <v>0.2</v>
      </c>
      <c r="W47" s="116">
        <v>41355</v>
      </c>
      <c r="X47" s="116"/>
      <c r="Y47" s="117" t="s">
        <v>345</v>
      </c>
    </row>
    <row r="48" spans="1:25" ht="21" customHeight="1">
      <c r="A48" s="69" t="s">
        <v>798</v>
      </c>
      <c r="B48" s="70" t="s">
        <v>14</v>
      </c>
      <c r="C48" s="70" t="s">
        <v>347</v>
      </c>
      <c r="D48" s="3" t="s">
        <v>18</v>
      </c>
      <c r="E48" s="3">
        <v>1</v>
      </c>
      <c r="F48" s="3"/>
      <c r="G48" s="3"/>
      <c r="H48" s="71" t="s">
        <v>799</v>
      </c>
      <c r="I48" s="72">
        <v>0</v>
      </c>
      <c r="J48" s="72">
        <v>1918</v>
      </c>
      <c r="K48" s="115"/>
      <c r="L48" s="115"/>
      <c r="M48" s="115"/>
      <c r="N48" s="115">
        <v>0.74</v>
      </c>
      <c r="O48" s="115"/>
      <c r="P48" s="115">
        <v>0.74</v>
      </c>
      <c r="Q48" s="115">
        <v>1.1399999999999999</v>
      </c>
      <c r="R48" s="115">
        <v>1.1399999999999999</v>
      </c>
      <c r="S48" s="115">
        <v>0.96</v>
      </c>
      <c r="T48" s="115">
        <v>1.1000000000000001</v>
      </c>
      <c r="U48" s="115">
        <v>1.1000000000000001</v>
      </c>
      <c r="V48" s="115"/>
      <c r="W48" s="116">
        <v>41629</v>
      </c>
      <c r="X48" s="116"/>
      <c r="Y48" s="117" t="s">
        <v>348</v>
      </c>
    </row>
    <row r="49" spans="1:25" ht="21" customHeight="1">
      <c r="A49" s="69" t="s">
        <v>800</v>
      </c>
      <c r="B49" s="70" t="s">
        <v>14</v>
      </c>
      <c r="C49" s="70" t="s">
        <v>347</v>
      </c>
      <c r="D49" s="3" t="s">
        <v>18</v>
      </c>
      <c r="E49" s="3">
        <v>2</v>
      </c>
      <c r="F49" s="3"/>
      <c r="G49" s="3"/>
      <c r="H49" s="71" t="s">
        <v>801</v>
      </c>
      <c r="I49" s="72">
        <v>1919</v>
      </c>
      <c r="J49" s="72">
        <v>1945</v>
      </c>
      <c r="K49" s="115"/>
      <c r="L49" s="115"/>
      <c r="M49" s="115"/>
      <c r="N49" s="115">
        <v>0.82</v>
      </c>
      <c r="O49" s="115">
        <v>1.1599999999999999</v>
      </c>
      <c r="P49" s="115">
        <v>0.65</v>
      </c>
      <c r="Q49" s="115">
        <v>1.03</v>
      </c>
      <c r="R49" s="115">
        <v>1.03</v>
      </c>
      <c r="S49" s="115"/>
      <c r="T49" s="115">
        <v>0.95</v>
      </c>
      <c r="U49" s="115">
        <v>0.95</v>
      </c>
      <c r="V49" s="115"/>
      <c r="W49" s="116">
        <v>41636</v>
      </c>
      <c r="X49" s="116"/>
      <c r="Y49" s="117" t="s">
        <v>348</v>
      </c>
    </row>
    <row r="50" spans="1:25" ht="21" customHeight="1">
      <c r="A50" s="69" t="s">
        <v>802</v>
      </c>
      <c r="B50" s="70" t="s">
        <v>14</v>
      </c>
      <c r="C50" s="70" t="s">
        <v>347</v>
      </c>
      <c r="D50" s="3" t="s">
        <v>18</v>
      </c>
      <c r="E50" s="3">
        <v>3</v>
      </c>
      <c r="F50" s="3"/>
      <c r="G50" s="3"/>
      <c r="H50" s="71" t="s">
        <v>803</v>
      </c>
      <c r="I50" s="72">
        <v>1946</v>
      </c>
      <c r="J50" s="72">
        <v>1960</v>
      </c>
      <c r="K50" s="115"/>
      <c r="L50" s="115"/>
      <c r="M50" s="115"/>
      <c r="N50" s="115">
        <v>0.89</v>
      </c>
      <c r="O50" s="115">
        <v>1.07</v>
      </c>
      <c r="P50" s="115">
        <v>0.7</v>
      </c>
      <c r="Q50" s="115">
        <v>1.6</v>
      </c>
      <c r="R50" s="115">
        <v>1.6</v>
      </c>
      <c r="S50" s="115"/>
      <c r="T50" s="115">
        <v>1.19</v>
      </c>
      <c r="U50" s="115">
        <v>1.19</v>
      </c>
      <c r="V50" s="115"/>
      <c r="W50" s="116">
        <v>41636</v>
      </c>
      <c r="X50" s="116"/>
      <c r="Y50" s="117" t="s">
        <v>348</v>
      </c>
    </row>
    <row r="51" spans="1:25" ht="21" customHeight="1">
      <c r="A51" s="69" t="s">
        <v>804</v>
      </c>
      <c r="B51" s="70" t="s">
        <v>14</v>
      </c>
      <c r="C51" s="70" t="s">
        <v>347</v>
      </c>
      <c r="D51" s="3" t="s">
        <v>18</v>
      </c>
      <c r="E51" s="3">
        <v>4</v>
      </c>
      <c r="F51" s="3"/>
      <c r="G51" s="3"/>
      <c r="H51" s="71" t="s">
        <v>805</v>
      </c>
      <c r="I51" s="72">
        <v>1961</v>
      </c>
      <c r="J51" s="72">
        <v>1970</v>
      </c>
      <c r="K51" s="115">
        <v>1.07</v>
      </c>
      <c r="L51" s="115">
        <v>1.07</v>
      </c>
      <c r="M51" s="115"/>
      <c r="N51" s="115">
        <v>1.17</v>
      </c>
      <c r="O51" s="115">
        <v>1.4</v>
      </c>
      <c r="P51" s="115">
        <v>0.71</v>
      </c>
      <c r="Q51" s="115">
        <v>1.35</v>
      </c>
      <c r="R51" s="115">
        <v>1.35</v>
      </c>
      <c r="S51" s="115"/>
      <c r="T51" s="115">
        <v>1.17</v>
      </c>
      <c r="U51" s="115">
        <v>1.17</v>
      </c>
      <c r="V51" s="115"/>
      <c r="W51" s="116">
        <v>41636</v>
      </c>
      <c r="X51" s="116"/>
      <c r="Y51" s="117" t="s">
        <v>348</v>
      </c>
    </row>
    <row r="52" spans="1:25" ht="21" customHeight="1">
      <c r="A52" s="69" t="s">
        <v>806</v>
      </c>
      <c r="B52" s="70" t="s">
        <v>14</v>
      </c>
      <c r="C52" s="70" t="s">
        <v>347</v>
      </c>
      <c r="D52" s="3" t="s">
        <v>18</v>
      </c>
      <c r="E52" s="3">
        <v>5</v>
      </c>
      <c r="F52" s="3"/>
      <c r="G52" s="3"/>
      <c r="H52" s="71" t="s">
        <v>807</v>
      </c>
      <c r="I52" s="72">
        <v>1971</v>
      </c>
      <c r="J52" s="72">
        <v>1980</v>
      </c>
      <c r="K52" s="115">
        <v>1.1200000000000001</v>
      </c>
      <c r="L52" s="115">
        <v>1.1200000000000001</v>
      </c>
      <c r="M52" s="115">
        <v>0.9</v>
      </c>
      <c r="N52" s="115">
        <v>0.86</v>
      </c>
      <c r="O52" s="115">
        <v>0.86</v>
      </c>
      <c r="P52" s="115">
        <v>0.86</v>
      </c>
      <c r="Q52" s="115">
        <v>1.07</v>
      </c>
      <c r="R52" s="115">
        <v>1.07</v>
      </c>
      <c r="S52" s="115">
        <v>0.82</v>
      </c>
      <c r="T52" s="115">
        <v>0.77</v>
      </c>
      <c r="U52" s="115">
        <v>0.77</v>
      </c>
      <c r="V52" s="115">
        <v>0.77</v>
      </c>
      <c r="W52" s="116">
        <v>41636</v>
      </c>
      <c r="X52" s="116"/>
      <c r="Y52" s="117" t="s">
        <v>349</v>
      </c>
    </row>
    <row r="53" spans="1:25" ht="21" customHeight="1">
      <c r="A53" s="69" t="s">
        <v>808</v>
      </c>
      <c r="B53" s="70" t="s">
        <v>14</v>
      </c>
      <c r="C53" s="70" t="s">
        <v>347</v>
      </c>
      <c r="D53" s="3" t="s">
        <v>18</v>
      </c>
      <c r="E53" s="3">
        <v>6</v>
      </c>
      <c r="F53" s="3"/>
      <c r="G53" s="3"/>
      <c r="H53" s="71" t="s">
        <v>809</v>
      </c>
      <c r="I53" s="72">
        <v>1981</v>
      </c>
      <c r="J53" s="72">
        <v>1990</v>
      </c>
      <c r="K53" s="115">
        <v>0.65</v>
      </c>
      <c r="L53" s="115">
        <v>0.65</v>
      </c>
      <c r="M53" s="115">
        <v>0.65</v>
      </c>
      <c r="N53" s="115">
        <v>0.69</v>
      </c>
      <c r="O53" s="115">
        <v>0.69</v>
      </c>
      <c r="P53" s="115">
        <v>0.69</v>
      </c>
      <c r="Q53" s="115">
        <v>0.93</v>
      </c>
      <c r="R53" s="115">
        <v>0.93</v>
      </c>
      <c r="S53" s="115">
        <v>0.93</v>
      </c>
      <c r="T53" s="115">
        <v>0.63</v>
      </c>
      <c r="U53" s="115">
        <v>0.63</v>
      </c>
      <c r="V53" s="115">
        <v>0.63</v>
      </c>
      <c r="W53" s="116">
        <v>41636</v>
      </c>
      <c r="X53" s="116"/>
      <c r="Y53" s="117" t="s">
        <v>350</v>
      </c>
    </row>
    <row r="54" spans="1:25" ht="21" customHeight="1">
      <c r="A54" s="69" t="s">
        <v>810</v>
      </c>
      <c r="B54" s="70" t="s">
        <v>14</v>
      </c>
      <c r="C54" s="70" t="s">
        <v>347</v>
      </c>
      <c r="D54" s="3" t="s">
        <v>18</v>
      </c>
      <c r="E54" s="3">
        <v>7</v>
      </c>
      <c r="F54" s="3"/>
      <c r="G54" s="3"/>
      <c r="H54" s="71" t="s">
        <v>811</v>
      </c>
      <c r="I54" s="72">
        <v>1991</v>
      </c>
      <c r="J54" s="72">
        <v>2011</v>
      </c>
      <c r="K54" s="115">
        <v>0.65</v>
      </c>
      <c r="L54" s="115">
        <v>0.65</v>
      </c>
      <c r="M54" s="115">
        <v>0.65</v>
      </c>
      <c r="N54" s="115">
        <v>0.8</v>
      </c>
      <c r="O54" s="115">
        <v>0.8</v>
      </c>
      <c r="P54" s="115">
        <v>0.8</v>
      </c>
      <c r="Q54" s="115">
        <v>0.9</v>
      </c>
      <c r="R54" s="115">
        <v>0.9</v>
      </c>
      <c r="S54" s="115">
        <v>0.9</v>
      </c>
      <c r="T54" s="115">
        <v>0.6</v>
      </c>
      <c r="U54" s="115">
        <v>0.6</v>
      </c>
      <c r="V54" s="115">
        <v>0.6</v>
      </c>
      <c r="W54" s="116">
        <v>41636</v>
      </c>
      <c r="X54" s="116"/>
      <c r="Y54" s="117" t="s">
        <v>351</v>
      </c>
    </row>
    <row r="55" spans="1:25" ht="21" customHeight="1">
      <c r="A55" s="69" t="s">
        <v>812</v>
      </c>
      <c r="B55" s="70" t="s">
        <v>14</v>
      </c>
      <c r="C55" s="70" t="s">
        <v>347</v>
      </c>
      <c r="D55" s="3" t="s">
        <v>18</v>
      </c>
      <c r="E55" s="3">
        <v>8</v>
      </c>
      <c r="F55" s="3"/>
      <c r="G55" s="3"/>
      <c r="H55" s="71" t="s">
        <v>813</v>
      </c>
      <c r="I55" s="72">
        <v>2012</v>
      </c>
      <c r="J55" s="72">
        <v>9999</v>
      </c>
      <c r="K55" s="115">
        <v>0.15</v>
      </c>
      <c r="L55" s="115">
        <v>0.15</v>
      </c>
      <c r="M55" s="115">
        <v>0.15</v>
      </c>
      <c r="N55" s="115">
        <v>0.3</v>
      </c>
      <c r="O55" s="115">
        <v>0.3</v>
      </c>
      <c r="P55" s="115">
        <v>0.3</v>
      </c>
      <c r="Q55" s="115">
        <v>0.3</v>
      </c>
      <c r="R55" s="115">
        <v>0.3</v>
      </c>
      <c r="S55" s="115">
        <v>0.3</v>
      </c>
      <c r="T55" s="115">
        <v>0.3</v>
      </c>
      <c r="U55" s="115">
        <v>0.3</v>
      </c>
      <c r="V55" s="115">
        <v>0.3</v>
      </c>
      <c r="W55" s="116">
        <v>41636</v>
      </c>
      <c r="X55" s="116"/>
      <c r="Y55" s="117" t="s">
        <v>352</v>
      </c>
    </row>
    <row r="56" spans="1:25" ht="21" customHeight="1">
      <c r="A56" s="69" t="s">
        <v>814</v>
      </c>
      <c r="B56" s="70" t="s">
        <v>14</v>
      </c>
      <c r="C56" s="70" t="s">
        <v>353</v>
      </c>
      <c r="D56" s="3" t="s">
        <v>18</v>
      </c>
      <c r="E56" s="3">
        <v>1</v>
      </c>
      <c r="F56" s="3"/>
      <c r="G56" s="3" t="s">
        <v>344</v>
      </c>
      <c r="H56" s="71" t="s">
        <v>815</v>
      </c>
      <c r="I56" s="72">
        <v>0</v>
      </c>
      <c r="J56" s="72">
        <v>1900</v>
      </c>
      <c r="K56" s="115">
        <v>1.8</v>
      </c>
      <c r="L56" s="115">
        <v>1.8</v>
      </c>
      <c r="M56" s="115">
        <v>1.8</v>
      </c>
      <c r="N56" s="115">
        <v>2.34</v>
      </c>
      <c r="O56" s="115">
        <v>2.34</v>
      </c>
      <c r="P56" s="115">
        <v>2.41</v>
      </c>
      <c r="Q56" s="115">
        <v>1.61</v>
      </c>
      <c r="R56" s="115">
        <v>1.61</v>
      </c>
      <c r="S56" s="115">
        <v>1.61</v>
      </c>
      <c r="T56" s="115">
        <v>1.82</v>
      </c>
      <c r="U56" s="115">
        <v>1.82</v>
      </c>
      <c r="V56" s="115">
        <v>2.04</v>
      </c>
      <c r="W56" s="116">
        <v>41355</v>
      </c>
      <c r="X56" s="116"/>
      <c r="Y56" s="117" t="s">
        <v>345</v>
      </c>
    </row>
    <row r="57" spans="1:25" ht="21" customHeight="1">
      <c r="A57" s="69" t="s">
        <v>816</v>
      </c>
      <c r="B57" s="70" t="s">
        <v>14</v>
      </c>
      <c r="C57" s="70" t="s">
        <v>353</v>
      </c>
      <c r="D57" s="3" t="s">
        <v>18</v>
      </c>
      <c r="E57" s="3">
        <v>2</v>
      </c>
      <c r="F57" s="3"/>
      <c r="G57" s="3" t="s">
        <v>344</v>
      </c>
      <c r="H57" s="71" t="s">
        <v>817</v>
      </c>
      <c r="I57" s="72">
        <v>1901</v>
      </c>
      <c r="J57" s="72">
        <v>1920</v>
      </c>
      <c r="K57" s="115">
        <v>1.8</v>
      </c>
      <c r="L57" s="115">
        <v>1.8</v>
      </c>
      <c r="M57" s="115">
        <v>1.8</v>
      </c>
      <c r="N57" s="115">
        <v>2.41</v>
      </c>
      <c r="O57" s="115">
        <v>2.41</v>
      </c>
      <c r="P57" s="115">
        <v>2.41</v>
      </c>
      <c r="Q57" s="115">
        <v>1.61</v>
      </c>
      <c r="R57" s="115">
        <v>1.61</v>
      </c>
      <c r="S57" s="115">
        <v>1.61</v>
      </c>
      <c r="T57" s="115">
        <v>1.82</v>
      </c>
      <c r="U57" s="115">
        <v>1.82</v>
      </c>
      <c r="V57" s="115">
        <v>1.82</v>
      </c>
      <c r="W57" s="116">
        <v>41355</v>
      </c>
      <c r="X57" s="116"/>
      <c r="Y57" s="117" t="s">
        <v>345</v>
      </c>
    </row>
    <row r="58" spans="1:25" ht="21" customHeight="1">
      <c r="A58" s="69" t="s">
        <v>818</v>
      </c>
      <c r="B58" s="70" t="s">
        <v>14</v>
      </c>
      <c r="C58" s="70" t="s">
        <v>353</v>
      </c>
      <c r="D58" s="3" t="s">
        <v>18</v>
      </c>
      <c r="E58" s="3">
        <v>3</v>
      </c>
      <c r="F58" s="3"/>
      <c r="G58" s="3" t="s">
        <v>344</v>
      </c>
      <c r="H58" s="71" t="s">
        <v>819</v>
      </c>
      <c r="I58" s="72">
        <v>1921</v>
      </c>
      <c r="J58" s="72">
        <v>1945</v>
      </c>
      <c r="K58" s="115">
        <v>1.8</v>
      </c>
      <c r="L58" s="115">
        <v>2.0299999999999998</v>
      </c>
      <c r="M58" s="115">
        <v>1.8</v>
      </c>
      <c r="N58" s="115">
        <v>2</v>
      </c>
      <c r="O58" s="115">
        <v>2</v>
      </c>
      <c r="P58" s="115">
        <v>2</v>
      </c>
      <c r="Q58" s="115">
        <v>1.31</v>
      </c>
      <c r="R58" s="115">
        <v>1.31</v>
      </c>
      <c r="S58" s="115">
        <v>1.31</v>
      </c>
      <c r="T58" s="115">
        <v>1.65</v>
      </c>
      <c r="U58" s="115">
        <v>1.65</v>
      </c>
      <c r="V58" s="115">
        <v>1.65</v>
      </c>
      <c r="W58" s="116">
        <v>41355</v>
      </c>
      <c r="X58" s="116"/>
      <c r="Y58" s="117" t="s">
        <v>345</v>
      </c>
    </row>
    <row r="59" spans="1:25" ht="21" customHeight="1">
      <c r="A59" s="69" t="s">
        <v>820</v>
      </c>
      <c r="B59" s="70" t="s">
        <v>14</v>
      </c>
      <c r="C59" s="70" t="s">
        <v>353</v>
      </c>
      <c r="D59" s="3" t="s">
        <v>18</v>
      </c>
      <c r="E59" s="3">
        <v>4</v>
      </c>
      <c r="F59" s="3"/>
      <c r="G59" s="3" t="s">
        <v>344</v>
      </c>
      <c r="H59" s="71" t="s">
        <v>821</v>
      </c>
      <c r="I59" s="72">
        <v>1946</v>
      </c>
      <c r="J59" s="72">
        <v>1960</v>
      </c>
      <c r="K59" s="115">
        <v>2.0299999999999998</v>
      </c>
      <c r="L59" s="115">
        <v>2.0299999999999998</v>
      </c>
      <c r="M59" s="115">
        <v>2.0299999999999998</v>
      </c>
      <c r="N59" s="115">
        <v>1.65</v>
      </c>
      <c r="O59" s="115">
        <v>1.65</v>
      </c>
      <c r="P59" s="115">
        <v>1.65</v>
      </c>
      <c r="Q59" s="115">
        <v>1.82</v>
      </c>
      <c r="R59" s="115">
        <v>1.82</v>
      </c>
      <c r="S59" s="115">
        <v>1.82</v>
      </c>
      <c r="T59" s="115">
        <v>1.65</v>
      </c>
      <c r="U59" s="115">
        <v>1.65</v>
      </c>
      <c r="V59" s="115">
        <v>1.65</v>
      </c>
      <c r="W59" s="116">
        <v>41355</v>
      </c>
      <c r="X59" s="116"/>
      <c r="Y59" s="117" t="s">
        <v>345</v>
      </c>
    </row>
    <row r="60" spans="1:25" ht="21" customHeight="1">
      <c r="A60" s="69" t="s">
        <v>822</v>
      </c>
      <c r="B60" s="70" t="s">
        <v>14</v>
      </c>
      <c r="C60" s="70" t="s">
        <v>353</v>
      </c>
      <c r="D60" s="3" t="s">
        <v>18</v>
      </c>
      <c r="E60" s="3">
        <v>5</v>
      </c>
      <c r="F60" s="3"/>
      <c r="G60" s="3" t="s">
        <v>344</v>
      </c>
      <c r="H60" s="71" t="s">
        <v>823</v>
      </c>
      <c r="I60" s="72">
        <v>1961</v>
      </c>
      <c r="J60" s="72">
        <v>1975</v>
      </c>
      <c r="K60" s="115">
        <v>2.0299999999999998</v>
      </c>
      <c r="L60" s="115">
        <v>2.0299999999999998</v>
      </c>
      <c r="M60" s="115">
        <v>2.0299999999999998</v>
      </c>
      <c r="N60" s="115">
        <v>1.65</v>
      </c>
      <c r="O60" s="115">
        <v>1.65</v>
      </c>
      <c r="P60" s="115">
        <v>1.65</v>
      </c>
      <c r="Q60" s="115">
        <v>1.82</v>
      </c>
      <c r="R60" s="115">
        <v>1.82</v>
      </c>
      <c r="S60" s="115">
        <v>1.82</v>
      </c>
      <c r="T60" s="115">
        <v>1.65</v>
      </c>
      <c r="U60" s="115">
        <v>1.65</v>
      </c>
      <c r="V60" s="115">
        <v>1.65</v>
      </c>
      <c r="W60" s="116">
        <v>41355</v>
      </c>
      <c r="X60" s="116"/>
      <c r="Y60" s="117" t="s">
        <v>345</v>
      </c>
    </row>
    <row r="61" spans="1:25" ht="21" customHeight="1">
      <c r="A61" s="69" t="s">
        <v>824</v>
      </c>
      <c r="B61" s="70" t="s">
        <v>14</v>
      </c>
      <c r="C61" s="70" t="s">
        <v>353</v>
      </c>
      <c r="D61" s="3" t="s">
        <v>18</v>
      </c>
      <c r="E61" s="3">
        <v>6</v>
      </c>
      <c r="F61" s="3"/>
      <c r="G61" s="3" t="s">
        <v>344</v>
      </c>
      <c r="H61" s="71" t="s">
        <v>825</v>
      </c>
      <c r="I61" s="72">
        <v>1976</v>
      </c>
      <c r="J61" s="72">
        <v>1990</v>
      </c>
      <c r="K61" s="115">
        <v>0.95</v>
      </c>
      <c r="L61" s="115">
        <v>1.08</v>
      </c>
      <c r="M61" s="115">
        <v>0.95</v>
      </c>
      <c r="N61" s="115">
        <v>0.97</v>
      </c>
      <c r="O61" s="115">
        <v>0.97</v>
      </c>
      <c r="P61" s="115">
        <v>0.97</v>
      </c>
      <c r="Q61" s="115">
        <v>0.79</v>
      </c>
      <c r="R61" s="115">
        <v>0.79</v>
      </c>
      <c r="S61" s="115">
        <v>0.79</v>
      </c>
      <c r="T61" s="115">
        <v>1.1100000000000001</v>
      </c>
      <c r="U61" s="115">
        <v>1.1100000000000001</v>
      </c>
      <c r="V61" s="115">
        <v>1.1100000000000001</v>
      </c>
      <c r="W61" s="116">
        <v>41355</v>
      </c>
      <c r="X61" s="116"/>
      <c r="Y61" s="117" t="s">
        <v>345</v>
      </c>
    </row>
    <row r="62" spans="1:25" ht="21" customHeight="1">
      <c r="A62" s="69" t="s">
        <v>826</v>
      </c>
      <c r="B62" s="70" t="s">
        <v>14</v>
      </c>
      <c r="C62" s="70" t="s">
        <v>353</v>
      </c>
      <c r="D62" s="3" t="s">
        <v>18</v>
      </c>
      <c r="E62" s="3">
        <v>7</v>
      </c>
      <c r="F62" s="3"/>
      <c r="G62" s="3" t="s">
        <v>344</v>
      </c>
      <c r="H62" s="71" t="s">
        <v>827</v>
      </c>
      <c r="I62" s="72">
        <v>1991</v>
      </c>
      <c r="J62" s="72">
        <v>2005</v>
      </c>
      <c r="K62" s="115">
        <v>0.64</v>
      </c>
      <c r="L62" s="115">
        <v>0.72</v>
      </c>
      <c r="M62" s="115">
        <v>0.64</v>
      </c>
      <c r="N62" s="115">
        <v>0.69</v>
      </c>
      <c r="O62" s="115">
        <v>0.69</v>
      </c>
      <c r="P62" s="115">
        <v>0.69</v>
      </c>
      <c r="Q62" s="115">
        <v>0.6</v>
      </c>
      <c r="R62" s="115">
        <v>0.6</v>
      </c>
      <c r="S62" s="115">
        <v>0.6</v>
      </c>
      <c r="T62" s="115">
        <v>0.85</v>
      </c>
      <c r="U62" s="115">
        <v>0.85</v>
      </c>
      <c r="V62" s="115">
        <v>0.85</v>
      </c>
      <c r="W62" s="116">
        <v>41355</v>
      </c>
      <c r="X62" s="116"/>
      <c r="Y62" s="117" t="s">
        <v>345</v>
      </c>
    </row>
    <row r="63" spans="1:25" ht="21" customHeight="1">
      <c r="A63" s="69" t="s">
        <v>828</v>
      </c>
      <c r="B63" s="70" t="s">
        <v>14</v>
      </c>
      <c r="C63" s="70" t="s">
        <v>353</v>
      </c>
      <c r="D63" s="3" t="s">
        <v>18</v>
      </c>
      <c r="E63" s="3">
        <v>8</v>
      </c>
      <c r="F63" s="3"/>
      <c r="G63" s="3" t="s">
        <v>344</v>
      </c>
      <c r="H63" s="71" t="s">
        <v>829</v>
      </c>
      <c r="I63" s="72">
        <v>2006</v>
      </c>
      <c r="J63" s="72">
        <v>9999</v>
      </c>
      <c r="K63" s="115">
        <v>0.3</v>
      </c>
      <c r="L63" s="115">
        <v>0.3</v>
      </c>
      <c r="M63" s="115">
        <v>0.3</v>
      </c>
      <c r="N63" s="115">
        <v>0.3</v>
      </c>
      <c r="O63" s="115">
        <v>0.3</v>
      </c>
      <c r="P63" s="115">
        <v>0.3</v>
      </c>
      <c r="Q63" s="115">
        <v>0.34</v>
      </c>
      <c r="R63" s="115">
        <v>0.34</v>
      </c>
      <c r="S63" s="115">
        <v>0.34</v>
      </c>
      <c r="T63" s="115">
        <v>0.33</v>
      </c>
      <c r="U63" s="115">
        <v>0.33</v>
      </c>
      <c r="V63" s="115">
        <v>0.33</v>
      </c>
      <c r="W63" s="116">
        <v>41355</v>
      </c>
      <c r="X63" s="116"/>
      <c r="Y63" s="117" t="s">
        <v>345</v>
      </c>
    </row>
    <row r="64" spans="1:25" ht="21" customHeight="1">
      <c r="A64" s="69" t="s">
        <v>830</v>
      </c>
      <c r="B64" s="70" t="s">
        <v>14</v>
      </c>
      <c r="C64" s="70" t="s">
        <v>354</v>
      </c>
      <c r="D64" s="3" t="s">
        <v>18</v>
      </c>
      <c r="E64" s="3">
        <v>2</v>
      </c>
      <c r="F64" s="3"/>
      <c r="G64" s="3" t="s">
        <v>355</v>
      </c>
      <c r="H64" s="71" t="s">
        <v>831</v>
      </c>
      <c r="I64" s="72">
        <v>1919</v>
      </c>
      <c r="J64" s="72">
        <v>1944</v>
      </c>
      <c r="K64" s="115">
        <v>0.28999999999999998</v>
      </c>
      <c r="L64" s="115">
        <v>0.28999999999999998</v>
      </c>
      <c r="M64" s="115">
        <v>0.28999999999999998</v>
      </c>
      <c r="N64" s="115">
        <v>0.28999999999999998</v>
      </c>
      <c r="O64" s="115">
        <v>0.28999999999999998</v>
      </c>
      <c r="P64" s="115">
        <v>0.28999999999999998</v>
      </c>
      <c r="Q64" s="115">
        <v>1.6</v>
      </c>
      <c r="R64" s="115">
        <v>1.6</v>
      </c>
      <c r="S64" s="115">
        <v>1.6</v>
      </c>
      <c r="T64" s="115">
        <v>1.2</v>
      </c>
      <c r="U64" s="115">
        <v>1.2</v>
      </c>
      <c r="V64" s="115">
        <v>1.2</v>
      </c>
      <c r="W64" s="116">
        <v>41465</v>
      </c>
      <c r="X64" s="116"/>
      <c r="Y64" s="117"/>
    </row>
    <row r="65" spans="1:25" ht="21" customHeight="1">
      <c r="A65" s="69" t="s">
        <v>832</v>
      </c>
      <c r="B65" s="70" t="s">
        <v>14</v>
      </c>
      <c r="C65" s="70" t="s">
        <v>354</v>
      </c>
      <c r="D65" s="3" t="s">
        <v>18</v>
      </c>
      <c r="E65" s="3">
        <v>4</v>
      </c>
      <c r="F65" s="3"/>
      <c r="G65" s="3" t="s">
        <v>355</v>
      </c>
      <c r="H65" s="71" t="s">
        <v>833</v>
      </c>
      <c r="I65" s="72">
        <v>1965</v>
      </c>
      <c r="J65" s="72">
        <v>1980</v>
      </c>
      <c r="K65" s="115">
        <v>0.28999999999999998</v>
      </c>
      <c r="L65" s="115">
        <v>0.28999999999999998</v>
      </c>
      <c r="M65" s="115">
        <v>0.28999999999999998</v>
      </c>
      <c r="N65" s="115">
        <v>0.28999999999999998</v>
      </c>
      <c r="O65" s="115">
        <v>0.28999999999999998</v>
      </c>
      <c r="P65" s="115">
        <v>0.28999999999999998</v>
      </c>
      <c r="Q65" s="115">
        <v>1.6</v>
      </c>
      <c r="R65" s="115">
        <v>1.6</v>
      </c>
      <c r="S65" s="115">
        <v>1.6</v>
      </c>
      <c r="T65" s="115">
        <v>1.2</v>
      </c>
      <c r="U65" s="115">
        <v>1.2</v>
      </c>
      <c r="V65" s="115">
        <v>1.2</v>
      </c>
      <c r="W65" s="116">
        <v>41466</v>
      </c>
      <c r="X65" s="116"/>
      <c r="Y65" s="117"/>
    </row>
    <row r="66" spans="1:25" ht="21" customHeight="1">
      <c r="A66" s="69" t="s">
        <v>834</v>
      </c>
      <c r="B66" s="70" t="s">
        <v>14</v>
      </c>
      <c r="C66" s="70" t="s">
        <v>356</v>
      </c>
      <c r="D66" s="3" t="s">
        <v>18</v>
      </c>
      <c r="E66" s="3">
        <v>1</v>
      </c>
      <c r="F66" s="3"/>
      <c r="G66" s="3"/>
      <c r="H66" s="71" t="s">
        <v>835</v>
      </c>
      <c r="I66" s="72">
        <v>0</v>
      </c>
      <c r="J66" s="72">
        <v>1980</v>
      </c>
      <c r="K66" s="115">
        <v>3.42</v>
      </c>
      <c r="L66" s="115"/>
      <c r="M66" s="115">
        <v>3.42</v>
      </c>
      <c r="N66" s="115">
        <v>3.42</v>
      </c>
      <c r="O66" s="115">
        <v>3.42</v>
      </c>
      <c r="P66" s="115">
        <v>3.42</v>
      </c>
      <c r="Q66" s="115">
        <v>1.39</v>
      </c>
      <c r="R66" s="115">
        <v>1.36</v>
      </c>
      <c r="S66" s="115">
        <v>1.39</v>
      </c>
      <c r="T66" s="115">
        <v>2</v>
      </c>
      <c r="U66" s="115">
        <v>2</v>
      </c>
      <c r="V66" s="115">
        <v>2</v>
      </c>
      <c r="W66" s="116">
        <v>41817</v>
      </c>
      <c r="X66" s="116"/>
      <c r="Y66" s="117"/>
    </row>
    <row r="67" spans="1:25" ht="21" customHeight="1">
      <c r="A67" s="69" t="s">
        <v>836</v>
      </c>
      <c r="B67" s="70" t="s">
        <v>14</v>
      </c>
      <c r="C67" s="70" t="s">
        <v>356</v>
      </c>
      <c r="D67" s="3" t="s">
        <v>18</v>
      </c>
      <c r="E67" s="3">
        <v>2</v>
      </c>
      <c r="F67" s="3"/>
      <c r="G67" s="3"/>
      <c r="H67" s="71" t="s">
        <v>837</v>
      </c>
      <c r="I67" s="72">
        <v>1981</v>
      </c>
      <c r="J67" s="72">
        <v>2006</v>
      </c>
      <c r="K67" s="115">
        <v>3.42</v>
      </c>
      <c r="L67" s="115"/>
      <c r="M67" s="115">
        <v>3.42</v>
      </c>
      <c r="N67" s="115">
        <v>3.42</v>
      </c>
      <c r="O67" s="115">
        <v>3.42</v>
      </c>
      <c r="P67" s="115">
        <v>3.42</v>
      </c>
      <c r="Q67" s="115">
        <v>1.39</v>
      </c>
      <c r="R67" s="115">
        <v>1.39</v>
      </c>
      <c r="S67" s="115">
        <v>1.39</v>
      </c>
      <c r="T67" s="115">
        <v>2</v>
      </c>
      <c r="U67" s="115">
        <v>2</v>
      </c>
      <c r="V67" s="115">
        <v>2</v>
      </c>
      <c r="W67" s="116">
        <v>41817</v>
      </c>
      <c r="X67" s="116"/>
      <c r="Y67" s="117"/>
    </row>
    <row r="68" spans="1:25" ht="21" customHeight="1">
      <c r="A68" s="69" t="s">
        <v>838</v>
      </c>
      <c r="B68" s="70" t="s">
        <v>14</v>
      </c>
      <c r="C68" s="70" t="s">
        <v>356</v>
      </c>
      <c r="D68" s="3" t="s">
        <v>18</v>
      </c>
      <c r="E68" s="3">
        <v>3</v>
      </c>
      <c r="F68" s="3"/>
      <c r="G68" s="3"/>
      <c r="H68" s="71" t="s">
        <v>839</v>
      </c>
      <c r="I68" s="72">
        <v>2007</v>
      </c>
      <c r="J68" s="72">
        <v>2013</v>
      </c>
      <c r="K68" s="115">
        <v>0.75</v>
      </c>
      <c r="L68" s="115"/>
      <c r="M68" s="115">
        <v>0.75</v>
      </c>
      <c r="N68" s="115">
        <v>0.75</v>
      </c>
      <c r="O68" s="115">
        <v>0.75</v>
      </c>
      <c r="P68" s="115">
        <v>0.75</v>
      </c>
      <c r="Q68" s="115">
        <v>0.85</v>
      </c>
      <c r="R68" s="115">
        <v>0.85</v>
      </c>
      <c r="S68" s="115">
        <v>0.85</v>
      </c>
      <c r="T68" s="115">
        <v>2</v>
      </c>
      <c r="U68" s="115">
        <v>2</v>
      </c>
      <c r="V68" s="115">
        <v>2</v>
      </c>
      <c r="W68" s="116">
        <v>41817</v>
      </c>
      <c r="X68" s="116"/>
      <c r="Y68" s="117"/>
    </row>
    <row r="69" spans="1:25" ht="21" customHeight="1">
      <c r="A69" s="69" t="s">
        <v>840</v>
      </c>
      <c r="B69" s="70" t="s">
        <v>14</v>
      </c>
      <c r="C69" s="70" t="s">
        <v>356</v>
      </c>
      <c r="D69" s="3" t="s">
        <v>18</v>
      </c>
      <c r="E69" s="3">
        <v>4</v>
      </c>
      <c r="F69" s="3"/>
      <c r="G69" s="3"/>
      <c r="H69" s="71" t="s">
        <v>841</v>
      </c>
      <c r="I69" s="72">
        <v>2014</v>
      </c>
      <c r="J69" s="72">
        <v>9999</v>
      </c>
      <c r="K69" s="115">
        <v>0.63</v>
      </c>
      <c r="L69" s="115"/>
      <c r="M69" s="115">
        <v>0.63</v>
      </c>
      <c r="N69" s="115">
        <v>0.63</v>
      </c>
      <c r="O69" s="115">
        <v>0.63</v>
      </c>
      <c r="P69" s="115">
        <v>0.63</v>
      </c>
      <c r="Q69" s="115">
        <v>0.72</v>
      </c>
      <c r="R69" s="115">
        <v>0.72</v>
      </c>
      <c r="S69" s="115">
        <v>0.72</v>
      </c>
      <c r="T69" s="115">
        <v>2</v>
      </c>
      <c r="U69" s="115">
        <v>2</v>
      </c>
      <c r="V69" s="115">
        <v>2</v>
      </c>
      <c r="W69" s="116">
        <v>41817</v>
      </c>
      <c r="X69" s="116"/>
      <c r="Y69" s="117"/>
    </row>
    <row r="70" spans="1:25" ht="21" customHeight="1">
      <c r="A70" s="69" t="s">
        <v>842</v>
      </c>
      <c r="B70" s="70" t="s">
        <v>14</v>
      </c>
      <c r="C70" s="70" t="s">
        <v>357</v>
      </c>
      <c r="D70" s="3" t="s">
        <v>18</v>
      </c>
      <c r="E70" s="3">
        <v>1</v>
      </c>
      <c r="F70" s="3"/>
      <c r="G70" s="3" t="s">
        <v>344</v>
      </c>
      <c r="H70" s="71" t="s">
        <v>843</v>
      </c>
      <c r="I70" s="72">
        <v>0</v>
      </c>
      <c r="J70" s="72">
        <v>1899</v>
      </c>
      <c r="K70" s="115">
        <v>1.49</v>
      </c>
      <c r="L70" s="115">
        <v>2.2999999999999998</v>
      </c>
      <c r="M70" s="115">
        <v>1.49</v>
      </c>
      <c r="N70" s="115">
        <v>1.49</v>
      </c>
      <c r="O70" s="115">
        <v>2.2999999999999998</v>
      </c>
      <c r="P70" s="115">
        <v>1.49</v>
      </c>
      <c r="Q70" s="115">
        <v>2.04</v>
      </c>
      <c r="R70" s="115">
        <v>2.04</v>
      </c>
      <c r="S70" s="115">
        <v>2.04</v>
      </c>
      <c r="T70" s="115">
        <v>1.41</v>
      </c>
      <c r="U70" s="115">
        <v>1.41</v>
      </c>
      <c r="V70" s="115">
        <v>1.41</v>
      </c>
      <c r="W70" s="116">
        <v>41355</v>
      </c>
      <c r="X70" s="116"/>
      <c r="Y70" s="117" t="s">
        <v>345</v>
      </c>
    </row>
    <row r="71" spans="1:25" ht="21" customHeight="1">
      <c r="A71" s="69" t="s">
        <v>844</v>
      </c>
      <c r="B71" s="70" t="s">
        <v>14</v>
      </c>
      <c r="C71" s="70" t="s">
        <v>357</v>
      </c>
      <c r="D71" s="3" t="s">
        <v>18</v>
      </c>
      <c r="E71" s="3">
        <v>2</v>
      </c>
      <c r="F71" s="3"/>
      <c r="G71" s="3" t="s">
        <v>344</v>
      </c>
      <c r="H71" s="71" t="s">
        <v>845</v>
      </c>
      <c r="I71" s="72">
        <v>1900</v>
      </c>
      <c r="J71" s="72">
        <v>1929</v>
      </c>
      <c r="K71" s="115">
        <v>0.4</v>
      </c>
      <c r="L71" s="115">
        <v>0.4</v>
      </c>
      <c r="M71" s="115">
        <v>0.4</v>
      </c>
      <c r="N71" s="115">
        <v>0.4</v>
      </c>
      <c r="O71" s="115">
        <v>0.4</v>
      </c>
      <c r="P71" s="115">
        <v>0.4</v>
      </c>
      <c r="Q71" s="115">
        <v>1.1000000000000001</v>
      </c>
      <c r="R71" s="115">
        <v>1.1000000000000001</v>
      </c>
      <c r="S71" s="115">
        <v>1.1000000000000001</v>
      </c>
      <c r="T71" s="115">
        <v>1.1499999999999999</v>
      </c>
      <c r="U71" s="115">
        <v>1.1499999999999999</v>
      </c>
      <c r="V71" s="115">
        <v>1.1499999999999999</v>
      </c>
      <c r="W71" s="116">
        <v>41355</v>
      </c>
      <c r="X71" s="116"/>
      <c r="Y71" s="117" t="s">
        <v>345</v>
      </c>
    </row>
    <row r="72" spans="1:25" ht="21" customHeight="1">
      <c r="A72" s="69" t="s">
        <v>846</v>
      </c>
      <c r="B72" s="70" t="s">
        <v>14</v>
      </c>
      <c r="C72" s="70" t="s">
        <v>357</v>
      </c>
      <c r="D72" s="3" t="s">
        <v>18</v>
      </c>
      <c r="E72" s="3">
        <v>3</v>
      </c>
      <c r="F72" s="3"/>
      <c r="G72" s="3" t="s">
        <v>344</v>
      </c>
      <c r="H72" s="71" t="s">
        <v>847</v>
      </c>
      <c r="I72" s="72">
        <v>1930</v>
      </c>
      <c r="J72" s="72">
        <v>1949</v>
      </c>
      <c r="K72" s="115">
        <v>0.4</v>
      </c>
      <c r="L72" s="115">
        <v>0.4</v>
      </c>
      <c r="M72" s="115">
        <v>0.4</v>
      </c>
      <c r="N72" s="115">
        <v>0.4</v>
      </c>
      <c r="O72" s="115">
        <v>0.4</v>
      </c>
      <c r="P72" s="115">
        <v>0.4</v>
      </c>
      <c r="Q72" s="115">
        <v>0.6</v>
      </c>
      <c r="R72" s="115">
        <v>0.6</v>
      </c>
      <c r="S72" s="115">
        <v>0.6</v>
      </c>
      <c r="T72" s="115">
        <v>1.1499999999999999</v>
      </c>
      <c r="U72" s="115">
        <v>1.1499999999999999</v>
      </c>
      <c r="V72" s="115">
        <v>1.1499999999999999</v>
      </c>
      <c r="W72" s="116">
        <v>41355</v>
      </c>
      <c r="X72" s="116"/>
      <c r="Y72" s="117" t="s">
        <v>345</v>
      </c>
    </row>
    <row r="73" spans="1:25" ht="21" customHeight="1">
      <c r="A73" s="69" t="s">
        <v>848</v>
      </c>
      <c r="B73" s="70" t="s">
        <v>14</v>
      </c>
      <c r="C73" s="70" t="s">
        <v>357</v>
      </c>
      <c r="D73" s="3" t="s">
        <v>18</v>
      </c>
      <c r="E73" s="3">
        <v>4</v>
      </c>
      <c r="F73" s="3"/>
      <c r="G73" s="3" t="s">
        <v>344</v>
      </c>
      <c r="H73" s="71" t="s">
        <v>849</v>
      </c>
      <c r="I73" s="72">
        <v>1950</v>
      </c>
      <c r="J73" s="72">
        <v>1966</v>
      </c>
      <c r="K73" s="115">
        <v>0.31</v>
      </c>
      <c r="L73" s="115">
        <v>0.35</v>
      </c>
      <c r="M73" s="115">
        <v>0.31</v>
      </c>
      <c r="N73" s="115">
        <v>0.35</v>
      </c>
      <c r="O73" s="115">
        <v>0.35</v>
      </c>
      <c r="P73" s="115">
        <v>0.31</v>
      </c>
      <c r="Q73" s="115">
        <v>0.55000000000000004</v>
      </c>
      <c r="R73" s="115">
        <v>0.55000000000000004</v>
      </c>
      <c r="S73" s="115">
        <v>0.55000000000000004</v>
      </c>
      <c r="T73" s="115">
        <v>0.84</v>
      </c>
      <c r="U73" s="115">
        <v>0.84</v>
      </c>
      <c r="V73" s="115">
        <v>0.84</v>
      </c>
      <c r="W73" s="116">
        <v>41355</v>
      </c>
      <c r="X73" s="116"/>
      <c r="Y73" s="117" t="s">
        <v>345</v>
      </c>
    </row>
    <row r="74" spans="1:25" ht="21" customHeight="1">
      <c r="A74" s="69" t="s">
        <v>850</v>
      </c>
      <c r="B74" s="70" t="s">
        <v>14</v>
      </c>
      <c r="C74" s="70" t="s">
        <v>357</v>
      </c>
      <c r="D74" s="3" t="s">
        <v>18</v>
      </c>
      <c r="E74" s="3">
        <v>5</v>
      </c>
      <c r="F74" s="3"/>
      <c r="G74" s="3" t="s">
        <v>344</v>
      </c>
      <c r="H74" s="71" t="s">
        <v>851</v>
      </c>
      <c r="I74" s="72">
        <v>1967</v>
      </c>
      <c r="J74" s="72">
        <v>1977</v>
      </c>
      <c r="K74" s="115">
        <v>0.23</v>
      </c>
      <c r="L74" s="115">
        <v>0.25</v>
      </c>
      <c r="M74" s="115">
        <v>0.23</v>
      </c>
      <c r="N74" s="115">
        <v>0.25</v>
      </c>
      <c r="O74" s="115">
        <v>0.25</v>
      </c>
      <c r="P74" s="115">
        <v>0.23</v>
      </c>
      <c r="Q74" s="115">
        <v>0.37</v>
      </c>
      <c r="R74" s="115">
        <v>0.37</v>
      </c>
      <c r="S74" s="115">
        <v>0.37</v>
      </c>
      <c r="T74" s="115">
        <v>0.5</v>
      </c>
      <c r="U74" s="115">
        <v>0.5</v>
      </c>
      <c r="V74" s="115">
        <v>0.5</v>
      </c>
      <c r="W74" s="116">
        <v>41355</v>
      </c>
      <c r="X74" s="116"/>
      <c r="Y74" s="117" t="s">
        <v>345</v>
      </c>
    </row>
    <row r="75" spans="1:25" ht="21" customHeight="1">
      <c r="A75" s="69" t="s">
        <v>852</v>
      </c>
      <c r="B75" s="70" t="s">
        <v>14</v>
      </c>
      <c r="C75" s="70" t="s">
        <v>358</v>
      </c>
      <c r="D75" s="3" t="s">
        <v>18</v>
      </c>
      <c r="E75" s="3">
        <v>1</v>
      </c>
      <c r="F75" s="3"/>
      <c r="G75" s="3" t="s">
        <v>344</v>
      </c>
      <c r="H75" s="71" t="s">
        <v>853</v>
      </c>
      <c r="I75" s="72">
        <v>0</v>
      </c>
      <c r="J75" s="72">
        <v>1945</v>
      </c>
      <c r="K75" s="115">
        <v>2.7</v>
      </c>
      <c r="L75" s="115">
        <v>2.7</v>
      </c>
      <c r="M75" s="115">
        <v>2.7</v>
      </c>
      <c r="N75" s="115">
        <v>1</v>
      </c>
      <c r="O75" s="115">
        <v>1.4</v>
      </c>
      <c r="P75" s="115">
        <v>1</v>
      </c>
      <c r="Q75" s="115">
        <v>1.5</v>
      </c>
      <c r="R75" s="115">
        <v>1.5</v>
      </c>
      <c r="S75" s="115">
        <v>0.7</v>
      </c>
      <c r="T75" s="115">
        <v>2.0499999999999998</v>
      </c>
      <c r="U75" s="115">
        <v>2.0499999999999998</v>
      </c>
      <c r="V75" s="115">
        <v>2.0499999999999998</v>
      </c>
      <c r="W75" s="116">
        <v>41355</v>
      </c>
      <c r="X75" s="116"/>
      <c r="Y75" s="117" t="s">
        <v>345</v>
      </c>
    </row>
    <row r="76" spans="1:25" ht="21" customHeight="1">
      <c r="A76" s="69" t="s">
        <v>854</v>
      </c>
      <c r="B76" s="70" t="s">
        <v>14</v>
      </c>
      <c r="C76" s="70" t="s">
        <v>358</v>
      </c>
      <c r="D76" s="3" t="s">
        <v>18</v>
      </c>
      <c r="E76" s="3">
        <v>2</v>
      </c>
      <c r="F76" s="3"/>
      <c r="G76" s="3" t="s">
        <v>344</v>
      </c>
      <c r="H76" s="71" t="s">
        <v>855</v>
      </c>
      <c r="I76" s="72">
        <v>1946</v>
      </c>
      <c r="J76" s="72">
        <v>1970</v>
      </c>
      <c r="K76" s="115">
        <v>1.8</v>
      </c>
      <c r="L76" s="115">
        <v>1.8</v>
      </c>
      <c r="M76" s="115">
        <v>1.8</v>
      </c>
      <c r="N76" s="115">
        <v>1.23</v>
      </c>
      <c r="O76" s="115">
        <v>1.23</v>
      </c>
      <c r="P76" s="115">
        <v>1</v>
      </c>
      <c r="Q76" s="115">
        <v>1.6</v>
      </c>
      <c r="R76" s="115">
        <v>1.6</v>
      </c>
      <c r="S76" s="115">
        <v>1.6</v>
      </c>
      <c r="T76" s="115">
        <v>1.4</v>
      </c>
      <c r="U76" s="115">
        <v>1.4</v>
      </c>
      <c r="V76" s="115">
        <v>1.4</v>
      </c>
      <c r="W76" s="116">
        <v>41355</v>
      </c>
      <c r="X76" s="116"/>
      <c r="Y76" s="117" t="s">
        <v>345</v>
      </c>
    </row>
    <row r="77" spans="1:25" ht="21" customHeight="1">
      <c r="A77" s="69" t="s">
        <v>856</v>
      </c>
      <c r="B77" s="70" t="s">
        <v>14</v>
      </c>
      <c r="C77" s="70" t="s">
        <v>358</v>
      </c>
      <c r="D77" s="3" t="s">
        <v>18</v>
      </c>
      <c r="E77" s="3">
        <v>3</v>
      </c>
      <c r="F77" s="3"/>
      <c r="G77" s="3" t="s">
        <v>344</v>
      </c>
      <c r="H77" s="71" t="s">
        <v>857</v>
      </c>
      <c r="I77" s="72">
        <v>1971</v>
      </c>
      <c r="J77" s="72">
        <v>1980</v>
      </c>
      <c r="K77" s="115">
        <v>0.9</v>
      </c>
      <c r="L77" s="115">
        <v>0.9</v>
      </c>
      <c r="M77" s="115">
        <v>0.9</v>
      </c>
      <c r="N77" s="115">
        <v>1</v>
      </c>
      <c r="O77" s="115">
        <v>1</v>
      </c>
      <c r="P77" s="115">
        <v>1</v>
      </c>
      <c r="Q77" s="115">
        <v>1.1000000000000001</v>
      </c>
      <c r="R77" s="115">
        <v>1.1000000000000001</v>
      </c>
      <c r="S77" s="115">
        <v>0.26</v>
      </c>
      <c r="T77" s="115">
        <v>0.96</v>
      </c>
      <c r="U77" s="115">
        <v>0.96</v>
      </c>
      <c r="V77" s="115">
        <v>0.96</v>
      </c>
      <c r="W77" s="116">
        <v>41355</v>
      </c>
      <c r="X77" s="116"/>
      <c r="Y77" s="117" t="s">
        <v>345</v>
      </c>
    </row>
    <row r="78" spans="1:25" ht="21" customHeight="1">
      <c r="A78" s="69" t="s">
        <v>858</v>
      </c>
      <c r="B78" s="70" t="s">
        <v>14</v>
      </c>
      <c r="C78" s="70" t="s">
        <v>358</v>
      </c>
      <c r="D78" s="3" t="s">
        <v>18</v>
      </c>
      <c r="E78" s="3">
        <v>4</v>
      </c>
      <c r="F78" s="3"/>
      <c r="G78" s="3" t="s">
        <v>344</v>
      </c>
      <c r="H78" s="71" t="s">
        <v>859</v>
      </c>
      <c r="I78" s="72">
        <v>1981</v>
      </c>
      <c r="J78" s="72">
        <v>2001</v>
      </c>
      <c r="K78" s="115">
        <v>0.45</v>
      </c>
      <c r="L78" s="115">
        <v>0.42</v>
      </c>
      <c r="M78" s="115">
        <v>0.45</v>
      </c>
      <c r="N78" s="115">
        <v>0.46</v>
      </c>
      <c r="O78" s="115">
        <v>0.46</v>
      </c>
      <c r="P78" s="115">
        <v>0.46</v>
      </c>
      <c r="Q78" s="115">
        <v>0.48</v>
      </c>
      <c r="R78" s="115">
        <v>0.48</v>
      </c>
      <c r="S78" s="115">
        <v>0.21</v>
      </c>
      <c r="T78" s="115">
        <v>0.65</v>
      </c>
      <c r="U78" s="115">
        <v>0.65</v>
      </c>
      <c r="V78" s="115">
        <v>0.65</v>
      </c>
      <c r="W78" s="116">
        <v>41355</v>
      </c>
      <c r="X78" s="116"/>
      <c r="Y78" s="117" t="s">
        <v>345</v>
      </c>
    </row>
    <row r="79" spans="1:25" ht="21" customHeight="1">
      <c r="A79" s="69" t="s">
        <v>860</v>
      </c>
      <c r="B79" s="70" t="s">
        <v>14</v>
      </c>
      <c r="C79" s="70" t="s">
        <v>358</v>
      </c>
      <c r="D79" s="3" t="s">
        <v>18</v>
      </c>
      <c r="E79" s="3">
        <v>5</v>
      </c>
      <c r="F79" s="3"/>
      <c r="G79" s="3" t="s">
        <v>344</v>
      </c>
      <c r="H79" s="71" t="s">
        <v>861</v>
      </c>
      <c r="I79" s="72">
        <v>2002</v>
      </c>
      <c r="J79" s="72">
        <v>2008</v>
      </c>
      <c r="K79" s="115">
        <v>0.17</v>
      </c>
      <c r="L79" s="115">
        <v>0.36</v>
      </c>
      <c r="M79" s="115">
        <v>0.17</v>
      </c>
      <c r="N79" s="115">
        <v>0.2</v>
      </c>
      <c r="O79" s="115">
        <v>0.2</v>
      </c>
      <c r="P79" s="115">
        <v>0.2</v>
      </c>
      <c r="Q79" s="115">
        <v>0.28000000000000003</v>
      </c>
      <c r="R79" s="115">
        <v>0.28000000000000003</v>
      </c>
      <c r="S79" s="115">
        <v>0.28000000000000003</v>
      </c>
      <c r="T79" s="115">
        <v>0.25</v>
      </c>
      <c r="U79" s="115">
        <v>0.25</v>
      </c>
      <c r="V79" s="115">
        <v>0.25</v>
      </c>
      <c r="W79" s="116">
        <v>41355</v>
      </c>
      <c r="X79" s="116"/>
      <c r="Y79" s="117" t="s">
        <v>345</v>
      </c>
    </row>
    <row r="80" spans="1:25" ht="21" customHeight="1">
      <c r="A80" s="69" t="s">
        <v>862</v>
      </c>
      <c r="B80" s="70" t="s">
        <v>14</v>
      </c>
      <c r="C80" s="70" t="s">
        <v>359</v>
      </c>
      <c r="D80" s="3" t="s">
        <v>18</v>
      </c>
      <c r="E80" s="3">
        <v>1</v>
      </c>
      <c r="F80" s="3"/>
      <c r="G80" s="3" t="s">
        <v>344</v>
      </c>
      <c r="H80" s="71" t="s">
        <v>863</v>
      </c>
      <c r="I80" s="72">
        <v>0</v>
      </c>
      <c r="J80" s="72">
        <v>1920</v>
      </c>
      <c r="K80" s="115">
        <v>2.6</v>
      </c>
      <c r="L80" s="115">
        <v>2.6</v>
      </c>
      <c r="M80" s="115">
        <v>2.6</v>
      </c>
      <c r="N80" s="115">
        <v>1.2</v>
      </c>
      <c r="O80" s="115">
        <v>1.2</v>
      </c>
      <c r="P80" s="115">
        <v>1.2</v>
      </c>
      <c r="Q80" s="115">
        <v>1.42</v>
      </c>
      <c r="R80" s="115">
        <v>1.42</v>
      </c>
      <c r="S80" s="115">
        <v>1.42</v>
      </c>
      <c r="T80" s="115">
        <v>2.02</v>
      </c>
      <c r="U80" s="115">
        <v>2.02</v>
      </c>
      <c r="V80" s="115">
        <v>2.02</v>
      </c>
      <c r="W80" s="116">
        <v>41355</v>
      </c>
      <c r="X80" s="116"/>
      <c r="Y80" s="117" t="s">
        <v>345</v>
      </c>
    </row>
    <row r="81" spans="1:25" ht="21" customHeight="1">
      <c r="A81" s="69" t="s">
        <v>864</v>
      </c>
      <c r="B81" s="70" t="s">
        <v>14</v>
      </c>
      <c r="C81" s="70" t="s">
        <v>359</v>
      </c>
      <c r="D81" s="3" t="s">
        <v>18</v>
      </c>
      <c r="E81" s="3">
        <v>2</v>
      </c>
      <c r="F81" s="3"/>
      <c r="G81" s="3" t="s">
        <v>344</v>
      </c>
      <c r="H81" s="71" t="s">
        <v>865</v>
      </c>
      <c r="I81" s="72">
        <v>1921</v>
      </c>
      <c r="J81" s="72">
        <v>1945</v>
      </c>
      <c r="K81" s="115">
        <v>2.12</v>
      </c>
      <c r="L81" s="115">
        <v>2.12</v>
      </c>
      <c r="M81" s="115">
        <v>2.12</v>
      </c>
      <c r="N81" s="115">
        <v>2.2000000000000002</v>
      </c>
      <c r="O81" s="115">
        <v>2.2000000000000002</v>
      </c>
      <c r="P81" s="115">
        <v>2.2000000000000002</v>
      </c>
      <c r="Q81" s="115">
        <v>1.43</v>
      </c>
      <c r="R81" s="115">
        <v>1.43</v>
      </c>
      <c r="S81" s="115">
        <v>1.43</v>
      </c>
      <c r="T81" s="115">
        <v>1.5</v>
      </c>
      <c r="U81" s="115">
        <v>1.5</v>
      </c>
      <c r="V81" s="115">
        <v>1.5</v>
      </c>
      <c r="W81" s="116">
        <v>41355</v>
      </c>
      <c r="X81" s="116"/>
      <c r="Y81" s="117" t="s">
        <v>345</v>
      </c>
    </row>
    <row r="82" spans="1:25" ht="21" customHeight="1">
      <c r="A82" s="69" t="s">
        <v>866</v>
      </c>
      <c r="B82" s="70" t="s">
        <v>14</v>
      </c>
      <c r="C82" s="70" t="s">
        <v>359</v>
      </c>
      <c r="D82" s="3" t="s">
        <v>18</v>
      </c>
      <c r="E82" s="3">
        <v>3</v>
      </c>
      <c r="F82" s="3"/>
      <c r="G82" s="3" t="s">
        <v>344</v>
      </c>
      <c r="H82" s="71" t="s">
        <v>867</v>
      </c>
      <c r="I82" s="72">
        <v>1946</v>
      </c>
      <c r="J82" s="72">
        <v>1960</v>
      </c>
      <c r="K82" s="115">
        <v>1.55</v>
      </c>
      <c r="L82" s="115">
        <v>0.91</v>
      </c>
      <c r="M82" s="115">
        <v>1.55</v>
      </c>
      <c r="N82" s="115">
        <v>1.45</v>
      </c>
      <c r="O82" s="115">
        <v>1.45</v>
      </c>
      <c r="P82" s="115">
        <v>1.3</v>
      </c>
      <c r="Q82" s="115">
        <v>1.43</v>
      </c>
      <c r="R82" s="115">
        <v>1.43</v>
      </c>
      <c r="S82" s="115">
        <v>1.43</v>
      </c>
      <c r="T82" s="115">
        <v>1.24</v>
      </c>
      <c r="U82" s="115">
        <v>1.24</v>
      </c>
      <c r="V82" s="115">
        <v>1.24</v>
      </c>
      <c r="W82" s="116">
        <v>41355</v>
      </c>
      <c r="X82" s="116"/>
      <c r="Y82" s="117" t="s">
        <v>345</v>
      </c>
    </row>
    <row r="83" spans="1:25" ht="21" customHeight="1">
      <c r="A83" s="69" t="s">
        <v>868</v>
      </c>
      <c r="B83" s="70" t="s">
        <v>14</v>
      </c>
      <c r="C83" s="70" t="s">
        <v>359</v>
      </c>
      <c r="D83" s="3" t="s">
        <v>18</v>
      </c>
      <c r="E83" s="3">
        <v>4</v>
      </c>
      <c r="F83" s="3"/>
      <c r="G83" s="3" t="s">
        <v>344</v>
      </c>
      <c r="H83" s="71" t="s">
        <v>869</v>
      </c>
      <c r="I83" s="72">
        <v>1961</v>
      </c>
      <c r="J83" s="72">
        <v>1980</v>
      </c>
      <c r="K83" s="115">
        <v>0.71</v>
      </c>
      <c r="L83" s="115">
        <v>0.71</v>
      </c>
      <c r="M83" s="115">
        <v>0.71</v>
      </c>
      <c r="N83" s="115">
        <v>1.53</v>
      </c>
      <c r="O83" s="115">
        <v>1.53</v>
      </c>
      <c r="P83" s="115">
        <v>1.53</v>
      </c>
      <c r="Q83" s="115">
        <v>1.2</v>
      </c>
      <c r="R83" s="115">
        <v>1.2</v>
      </c>
      <c r="S83" s="115">
        <v>1.1000000000000001</v>
      </c>
      <c r="T83" s="115">
        <v>1.26</v>
      </c>
      <c r="U83" s="115">
        <v>1.26</v>
      </c>
      <c r="V83" s="115">
        <v>1.26</v>
      </c>
      <c r="W83" s="116">
        <v>41355</v>
      </c>
      <c r="X83" s="116"/>
      <c r="Y83" s="117" t="s">
        <v>345</v>
      </c>
    </row>
    <row r="84" spans="1:25" ht="21" customHeight="1">
      <c r="A84" s="69" t="s">
        <v>870</v>
      </c>
      <c r="B84" s="70" t="s">
        <v>14</v>
      </c>
      <c r="C84" s="70" t="s">
        <v>359</v>
      </c>
      <c r="D84" s="3" t="s">
        <v>18</v>
      </c>
      <c r="E84" s="3">
        <v>5</v>
      </c>
      <c r="F84" s="3"/>
      <c r="G84" s="3" t="s">
        <v>344</v>
      </c>
      <c r="H84" s="71" t="s">
        <v>871</v>
      </c>
      <c r="I84" s="72">
        <v>1981</v>
      </c>
      <c r="J84" s="72">
        <v>1994</v>
      </c>
      <c r="K84" s="115">
        <v>0.41</v>
      </c>
      <c r="L84" s="115">
        <v>0.41</v>
      </c>
      <c r="M84" s="115">
        <v>0.41</v>
      </c>
      <c r="N84" s="115">
        <v>0.6</v>
      </c>
      <c r="O84" s="115">
        <v>0.6</v>
      </c>
      <c r="P84" s="115">
        <v>0.6</v>
      </c>
      <c r="Q84" s="115">
        <v>0.76</v>
      </c>
      <c r="R84" s="115">
        <v>0.76</v>
      </c>
      <c r="S84" s="115">
        <v>0.76</v>
      </c>
      <c r="T84" s="115">
        <v>0.85</v>
      </c>
      <c r="U84" s="115">
        <v>0.85</v>
      </c>
      <c r="V84" s="115">
        <v>0.85</v>
      </c>
      <c r="W84" s="116">
        <v>41355</v>
      </c>
      <c r="X84" s="116"/>
      <c r="Y84" s="117" t="s">
        <v>345</v>
      </c>
    </row>
    <row r="85" spans="1:25" ht="21" customHeight="1">
      <c r="A85" s="69" t="s">
        <v>872</v>
      </c>
      <c r="B85" s="70" t="s">
        <v>14</v>
      </c>
      <c r="C85" s="70" t="s">
        <v>359</v>
      </c>
      <c r="D85" s="3" t="s">
        <v>18</v>
      </c>
      <c r="E85" s="3">
        <v>6</v>
      </c>
      <c r="F85" s="3"/>
      <c r="G85" s="3" t="s">
        <v>344</v>
      </c>
      <c r="H85" s="71" t="s">
        <v>873</v>
      </c>
      <c r="I85" s="72">
        <v>1995</v>
      </c>
      <c r="J85" s="72">
        <v>2010</v>
      </c>
      <c r="K85" s="115">
        <v>0.3</v>
      </c>
      <c r="L85" s="115">
        <v>0.3</v>
      </c>
      <c r="M85" s="115">
        <v>0.3</v>
      </c>
      <c r="N85" s="115">
        <v>0.3</v>
      </c>
      <c r="O85" s="115">
        <v>0.3</v>
      </c>
      <c r="P85" s="115">
        <v>0.3</v>
      </c>
      <c r="Q85" s="115">
        <v>0.38</v>
      </c>
      <c r="R85" s="115">
        <v>0.38</v>
      </c>
      <c r="S85" s="115">
        <v>0.38</v>
      </c>
      <c r="T85" s="115">
        <v>0.49</v>
      </c>
      <c r="U85" s="115">
        <v>0.49</v>
      </c>
      <c r="V85" s="115">
        <v>0.49</v>
      </c>
      <c r="W85" s="116">
        <v>41355</v>
      </c>
      <c r="X85" s="116"/>
      <c r="Y85" s="117" t="s">
        <v>345</v>
      </c>
    </row>
    <row r="86" spans="1:25" ht="21" customHeight="1">
      <c r="A86" s="69" t="s">
        <v>874</v>
      </c>
      <c r="B86" s="70" t="s">
        <v>14</v>
      </c>
      <c r="C86" s="70" t="s">
        <v>359</v>
      </c>
      <c r="D86" s="3" t="s">
        <v>18</v>
      </c>
      <c r="E86" s="3">
        <v>7</v>
      </c>
      <c r="F86" s="3"/>
      <c r="G86" s="3"/>
      <c r="H86" s="71" t="s">
        <v>875</v>
      </c>
      <c r="I86" s="72">
        <v>2011</v>
      </c>
      <c r="J86" s="72">
        <v>9999</v>
      </c>
      <c r="K86" s="115">
        <v>0.3</v>
      </c>
      <c r="L86" s="115">
        <v>0.3</v>
      </c>
      <c r="M86" s="115">
        <v>0.3</v>
      </c>
      <c r="N86" s="115">
        <v>0.3</v>
      </c>
      <c r="O86" s="115">
        <v>0.3</v>
      </c>
      <c r="P86" s="115">
        <v>0.3</v>
      </c>
      <c r="Q86" s="115">
        <v>0.38</v>
      </c>
      <c r="R86" s="115">
        <v>0.38</v>
      </c>
      <c r="S86" s="115">
        <v>0.38</v>
      </c>
      <c r="T86" s="115">
        <v>0.49</v>
      </c>
      <c r="U86" s="115">
        <v>0.49</v>
      </c>
      <c r="V86" s="115">
        <v>0.49</v>
      </c>
      <c r="W86" s="116">
        <v>41901</v>
      </c>
      <c r="X86" s="116"/>
      <c r="Y86" s="117"/>
    </row>
    <row r="87" spans="1:25" ht="21" customHeight="1">
      <c r="A87" s="69" t="s">
        <v>876</v>
      </c>
      <c r="B87" s="70" t="s">
        <v>14</v>
      </c>
      <c r="C87" s="70" t="s">
        <v>360</v>
      </c>
      <c r="D87" s="3" t="s">
        <v>18</v>
      </c>
      <c r="E87" s="3">
        <v>1</v>
      </c>
      <c r="F87" s="3"/>
      <c r="G87" s="3" t="s">
        <v>344</v>
      </c>
      <c r="H87" s="71" t="s">
        <v>877</v>
      </c>
      <c r="I87" s="72">
        <v>0</v>
      </c>
      <c r="J87" s="72">
        <v>1918</v>
      </c>
      <c r="K87" s="115">
        <v>1.4</v>
      </c>
      <c r="L87" s="115">
        <v>1.4</v>
      </c>
      <c r="M87" s="115">
        <v>1.4</v>
      </c>
      <c r="N87" s="115">
        <v>1.5</v>
      </c>
      <c r="O87" s="115">
        <v>1.5</v>
      </c>
      <c r="P87" s="115">
        <v>1.5</v>
      </c>
      <c r="Q87" s="115">
        <v>1.5</v>
      </c>
      <c r="R87" s="115">
        <v>1.5</v>
      </c>
      <c r="S87" s="115">
        <v>1.5</v>
      </c>
      <c r="T87" s="115">
        <v>1.25</v>
      </c>
      <c r="U87" s="115">
        <v>1.25</v>
      </c>
      <c r="V87" s="115">
        <v>1.25</v>
      </c>
      <c r="W87" s="116">
        <v>41355</v>
      </c>
      <c r="X87" s="116"/>
      <c r="Y87" s="117" t="s">
        <v>345</v>
      </c>
    </row>
    <row r="88" spans="1:25" ht="21" customHeight="1">
      <c r="A88" s="69" t="s">
        <v>878</v>
      </c>
      <c r="B88" s="70" t="s">
        <v>14</v>
      </c>
      <c r="C88" s="70" t="s">
        <v>360</v>
      </c>
      <c r="D88" s="3" t="s">
        <v>18</v>
      </c>
      <c r="E88" s="3">
        <v>2</v>
      </c>
      <c r="F88" s="3"/>
      <c r="G88" s="3" t="s">
        <v>344</v>
      </c>
      <c r="H88" s="71" t="s">
        <v>879</v>
      </c>
      <c r="I88" s="72">
        <v>1919</v>
      </c>
      <c r="J88" s="72">
        <v>1944</v>
      </c>
      <c r="K88" s="115">
        <v>0.95</v>
      </c>
      <c r="L88" s="115">
        <v>0.95</v>
      </c>
      <c r="M88" s="115">
        <v>0.95</v>
      </c>
      <c r="N88" s="115">
        <v>1.05</v>
      </c>
      <c r="O88" s="115">
        <v>1.7</v>
      </c>
      <c r="P88" s="115">
        <v>1.05</v>
      </c>
      <c r="Q88" s="115">
        <v>1.73</v>
      </c>
      <c r="R88" s="115">
        <v>1.73</v>
      </c>
      <c r="S88" s="115">
        <v>1.73</v>
      </c>
      <c r="T88" s="115">
        <v>1.55</v>
      </c>
      <c r="U88" s="115">
        <v>1.55</v>
      </c>
      <c r="V88" s="115">
        <v>1.55</v>
      </c>
      <c r="W88" s="116">
        <v>41355</v>
      </c>
      <c r="X88" s="116"/>
      <c r="Y88" s="117" t="s">
        <v>345</v>
      </c>
    </row>
    <row r="89" spans="1:25" ht="21" customHeight="1">
      <c r="A89" s="69" t="s">
        <v>880</v>
      </c>
      <c r="B89" s="70" t="s">
        <v>14</v>
      </c>
      <c r="C89" s="70" t="s">
        <v>360</v>
      </c>
      <c r="D89" s="3" t="s">
        <v>18</v>
      </c>
      <c r="E89" s="3">
        <v>3</v>
      </c>
      <c r="F89" s="3"/>
      <c r="G89" s="3" t="s">
        <v>344</v>
      </c>
      <c r="H89" s="71" t="s">
        <v>881</v>
      </c>
      <c r="I89" s="72">
        <v>1945</v>
      </c>
      <c r="J89" s="72">
        <v>1960</v>
      </c>
      <c r="K89" s="115">
        <v>0.9</v>
      </c>
      <c r="L89" s="115">
        <v>0.9</v>
      </c>
      <c r="M89" s="115">
        <v>0.9</v>
      </c>
      <c r="N89" s="115">
        <v>0.78</v>
      </c>
      <c r="O89" s="115">
        <v>1.7</v>
      </c>
      <c r="P89" s="115">
        <v>0.78</v>
      </c>
      <c r="Q89" s="115">
        <v>1.27</v>
      </c>
      <c r="R89" s="115">
        <v>1.27</v>
      </c>
      <c r="S89" s="115">
        <v>1.27</v>
      </c>
      <c r="T89" s="115">
        <v>2.2999999999999998</v>
      </c>
      <c r="U89" s="115">
        <v>2.2999999999999998</v>
      </c>
      <c r="V89" s="115">
        <v>2.2999999999999998</v>
      </c>
      <c r="W89" s="116">
        <v>41355</v>
      </c>
      <c r="X89" s="116"/>
      <c r="Y89" s="117" t="s">
        <v>345</v>
      </c>
    </row>
    <row r="90" spans="1:25" ht="21" customHeight="1">
      <c r="A90" s="69" t="s">
        <v>882</v>
      </c>
      <c r="B90" s="70" t="s">
        <v>14</v>
      </c>
      <c r="C90" s="70" t="s">
        <v>360</v>
      </c>
      <c r="D90" s="3" t="s">
        <v>18</v>
      </c>
      <c r="E90" s="3">
        <v>4</v>
      </c>
      <c r="F90" s="3"/>
      <c r="G90" s="3" t="s">
        <v>344</v>
      </c>
      <c r="H90" s="71" t="s">
        <v>883</v>
      </c>
      <c r="I90" s="72">
        <v>1961</v>
      </c>
      <c r="J90" s="72">
        <v>1980</v>
      </c>
      <c r="K90" s="115">
        <v>0.7</v>
      </c>
      <c r="L90" s="115">
        <v>0.5</v>
      </c>
      <c r="M90" s="115">
        <v>0.7</v>
      </c>
      <c r="N90" s="115">
        <v>1.67</v>
      </c>
      <c r="O90" s="115">
        <v>1.67</v>
      </c>
      <c r="P90" s="115">
        <v>1.67</v>
      </c>
      <c r="Q90" s="115">
        <v>1.18</v>
      </c>
      <c r="R90" s="115">
        <v>1.18</v>
      </c>
      <c r="S90" s="115">
        <v>1.18</v>
      </c>
      <c r="T90" s="115">
        <v>0.95</v>
      </c>
      <c r="U90" s="115">
        <v>0.95</v>
      </c>
      <c r="V90" s="115">
        <v>0.95</v>
      </c>
      <c r="W90" s="116">
        <v>41355</v>
      </c>
      <c r="X90" s="116"/>
      <c r="Y90" s="117" t="s">
        <v>345</v>
      </c>
    </row>
    <row r="91" spans="1:25" ht="21" customHeight="1">
      <c r="A91" s="69" t="s">
        <v>884</v>
      </c>
      <c r="B91" s="70" t="s">
        <v>14</v>
      </c>
      <c r="C91" s="70" t="s">
        <v>360</v>
      </c>
      <c r="D91" s="3" t="s">
        <v>18</v>
      </c>
      <c r="E91" s="3">
        <v>5</v>
      </c>
      <c r="F91" s="3"/>
      <c r="G91" s="3" t="s">
        <v>344</v>
      </c>
      <c r="H91" s="71" t="s">
        <v>885</v>
      </c>
      <c r="I91" s="72">
        <v>1981</v>
      </c>
      <c r="J91" s="72">
        <v>1990</v>
      </c>
      <c r="K91" s="115">
        <v>0.5</v>
      </c>
      <c r="L91" s="115">
        <v>0.47</v>
      </c>
      <c r="M91" s="115">
        <v>0.5</v>
      </c>
      <c r="N91" s="115">
        <v>0.65</v>
      </c>
      <c r="O91" s="115">
        <v>0.65</v>
      </c>
      <c r="P91" s="115">
        <v>0.65</v>
      </c>
      <c r="Q91" s="115">
        <v>0.83</v>
      </c>
      <c r="R91" s="115">
        <v>0.83</v>
      </c>
      <c r="S91" s="115">
        <v>0.83</v>
      </c>
      <c r="T91" s="115">
        <v>0.7</v>
      </c>
      <c r="U91" s="115">
        <v>0.7</v>
      </c>
      <c r="V91" s="115">
        <v>0.7</v>
      </c>
      <c r="W91" s="116">
        <v>41355</v>
      </c>
      <c r="X91" s="116"/>
      <c r="Y91" s="117" t="s">
        <v>345</v>
      </c>
    </row>
    <row r="92" spans="1:25" ht="21" customHeight="1">
      <c r="A92" s="69" t="s">
        <v>886</v>
      </c>
      <c r="B92" s="70" t="s">
        <v>14</v>
      </c>
      <c r="C92" s="70" t="s">
        <v>360</v>
      </c>
      <c r="D92" s="3" t="s">
        <v>18</v>
      </c>
      <c r="E92" s="3">
        <v>6</v>
      </c>
      <c r="F92" s="3"/>
      <c r="G92" s="3" t="s">
        <v>344</v>
      </c>
      <c r="H92" s="71" t="s">
        <v>887</v>
      </c>
      <c r="I92" s="72">
        <v>1991</v>
      </c>
      <c r="J92" s="72">
        <v>2000</v>
      </c>
      <c r="K92" s="115">
        <v>0.3</v>
      </c>
      <c r="L92" s="115">
        <v>0.28000000000000003</v>
      </c>
      <c r="M92" s="115">
        <v>0.3</v>
      </c>
      <c r="N92" s="115">
        <v>0.3</v>
      </c>
      <c r="O92" s="115">
        <v>0.3</v>
      </c>
      <c r="P92" s="115">
        <v>0.3</v>
      </c>
      <c r="Q92" s="115">
        <v>0.33</v>
      </c>
      <c r="R92" s="115">
        <v>0.33</v>
      </c>
      <c r="S92" s="115">
        <v>0.3</v>
      </c>
      <c r="T92" s="115">
        <v>0.5</v>
      </c>
      <c r="U92" s="115">
        <v>0.5</v>
      </c>
      <c r="V92" s="115">
        <v>0.5</v>
      </c>
      <c r="W92" s="116">
        <v>41355</v>
      </c>
      <c r="X92" s="116"/>
      <c r="Y92" s="117" t="s">
        <v>345</v>
      </c>
    </row>
    <row r="93" spans="1:25" ht="21" customHeight="1">
      <c r="A93" s="69" t="s">
        <v>888</v>
      </c>
      <c r="B93" s="70" t="s">
        <v>14</v>
      </c>
      <c r="C93" s="70" t="s">
        <v>360</v>
      </c>
      <c r="D93" s="3" t="s">
        <v>18</v>
      </c>
      <c r="E93" s="3">
        <v>7</v>
      </c>
      <c r="F93" s="3"/>
      <c r="G93" s="3" t="s">
        <v>344</v>
      </c>
      <c r="H93" s="71" t="s">
        <v>889</v>
      </c>
      <c r="I93" s="72">
        <v>2001</v>
      </c>
      <c r="J93" s="72">
        <v>2010</v>
      </c>
      <c r="K93" s="115">
        <v>0.15</v>
      </c>
      <c r="L93" s="115">
        <v>0.17</v>
      </c>
      <c r="M93" s="115">
        <v>0.15</v>
      </c>
      <c r="N93" s="115">
        <v>0.2</v>
      </c>
      <c r="O93" s="115">
        <v>0.2</v>
      </c>
      <c r="P93" s="115">
        <v>0.2</v>
      </c>
      <c r="Q93" s="115">
        <v>1.1000000000000001</v>
      </c>
      <c r="R93" s="115">
        <v>1.1000000000000001</v>
      </c>
      <c r="S93" s="115">
        <v>0.28999999999999998</v>
      </c>
      <c r="T93" s="115">
        <v>0.4</v>
      </c>
      <c r="U93" s="115">
        <v>0.4</v>
      </c>
      <c r="V93" s="115">
        <v>0.4</v>
      </c>
      <c r="W93" s="116">
        <v>41355</v>
      </c>
      <c r="X93" s="116"/>
      <c r="Y93" s="117" t="s">
        <v>345</v>
      </c>
    </row>
    <row r="94" spans="1:25" ht="21" customHeight="1">
      <c r="A94" s="69" t="s">
        <v>890</v>
      </c>
      <c r="B94" s="70" t="s">
        <v>14</v>
      </c>
      <c r="C94" s="70" t="s">
        <v>360</v>
      </c>
      <c r="D94" s="3" t="s">
        <v>18</v>
      </c>
      <c r="E94" s="3">
        <v>8</v>
      </c>
      <c r="F94" s="3"/>
      <c r="G94" s="3"/>
      <c r="H94" s="71" t="s">
        <v>891</v>
      </c>
      <c r="I94" s="72">
        <v>2011</v>
      </c>
      <c r="J94" s="72">
        <v>9999</v>
      </c>
      <c r="K94" s="115">
        <v>0.1</v>
      </c>
      <c r="L94" s="115">
        <v>0.1</v>
      </c>
      <c r="M94" s="115">
        <v>0.1</v>
      </c>
      <c r="N94" s="115">
        <v>0.1</v>
      </c>
      <c r="O94" s="115">
        <v>0.1</v>
      </c>
      <c r="P94" s="115">
        <v>0.1</v>
      </c>
      <c r="Q94" s="115">
        <v>0.1</v>
      </c>
      <c r="R94" s="115">
        <v>0.1</v>
      </c>
      <c r="S94" s="115">
        <v>0.1</v>
      </c>
      <c r="T94" s="115">
        <v>0.21</v>
      </c>
      <c r="U94" s="115">
        <v>0.21</v>
      </c>
      <c r="V94" s="115">
        <v>0.21</v>
      </c>
      <c r="W94" s="116">
        <v>41659</v>
      </c>
      <c r="X94" s="116">
        <v>41859</v>
      </c>
      <c r="Y94" s="117"/>
    </row>
    <row r="95" spans="1:25" ht="21" customHeight="1">
      <c r="A95" s="69" t="s">
        <v>892</v>
      </c>
      <c r="B95" s="70" t="s">
        <v>14</v>
      </c>
      <c r="C95" s="70" t="s">
        <v>361</v>
      </c>
      <c r="D95" s="3" t="s">
        <v>18</v>
      </c>
      <c r="E95" s="3">
        <v>1</v>
      </c>
      <c r="F95" s="3"/>
      <c r="G95" s="3"/>
      <c r="H95" s="71" t="s">
        <v>893</v>
      </c>
      <c r="I95" s="72">
        <v>0</v>
      </c>
      <c r="J95" s="72">
        <v>1944</v>
      </c>
      <c r="K95" s="115"/>
      <c r="L95" s="115"/>
      <c r="M95" s="115"/>
      <c r="N95" s="115"/>
      <c r="O95" s="115"/>
      <c r="P95" s="115"/>
      <c r="Q95" s="115"/>
      <c r="R95" s="115"/>
      <c r="S95" s="115"/>
      <c r="T95" s="115"/>
      <c r="U95" s="115"/>
      <c r="V95" s="115"/>
      <c r="W95" s="116"/>
      <c r="X95" s="116"/>
      <c r="Y95" s="117"/>
    </row>
    <row r="96" spans="1:25" ht="21" customHeight="1">
      <c r="A96" s="69" t="s">
        <v>894</v>
      </c>
      <c r="B96" s="70" t="s">
        <v>14</v>
      </c>
      <c r="C96" s="70" t="s">
        <v>361</v>
      </c>
      <c r="D96" s="3" t="s">
        <v>18</v>
      </c>
      <c r="E96" s="3">
        <v>2</v>
      </c>
      <c r="F96" s="3"/>
      <c r="G96" s="3"/>
      <c r="H96" s="71" t="s">
        <v>895</v>
      </c>
      <c r="I96" s="72">
        <v>1945</v>
      </c>
      <c r="J96" s="72">
        <v>1979</v>
      </c>
      <c r="K96" s="115"/>
      <c r="L96" s="115"/>
      <c r="M96" s="115"/>
      <c r="N96" s="115"/>
      <c r="O96" s="115"/>
      <c r="P96" s="115"/>
      <c r="Q96" s="115"/>
      <c r="R96" s="115"/>
      <c r="S96" s="115"/>
      <c r="T96" s="115"/>
      <c r="U96" s="115"/>
      <c r="V96" s="115"/>
      <c r="W96" s="116"/>
      <c r="X96" s="116"/>
      <c r="Y96" s="117"/>
    </row>
    <row r="97" spans="1:25" ht="21" customHeight="1">
      <c r="A97" s="69" t="s">
        <v>896</v>
      </c>
      <c r="B97" s="70" t="s">
        <v>14</v>
      </c>
      <c r="C97" s="70" t="s">
        <v>362</v>
      </c>
      <c r="D97" s="3" t="s">
        <v>18</v>
      </c>
      <c r="E97" s="3">
        <v>1</v>
      </c>
      <c r="F97" s="3"/>
      <c r="G97" s="3" t="s">
        <v>344</v>
      </c>
      <c r="H97" s="71" t="s">
        <v>897</v>
      </c>
      <c r="I97" s="72">
        <v>0</v>
      </c>
      <c r="J97" s="72">
        <v>1945</v>
      </c>
      <c r="K97" s="115">
        <v>1.7</v>
      </c>
      <c r="L97" s="115">
        <v>3.5</v>
      </c>
      <c r="M97" s="115">
        <v>1.7</v>
      </c>
      <c r="N97" s="115">
        <v>1.7</v>
      </c>
      <c r="O97" s="115">
        <v>3.5</v>
      </c>
      <c r="P97" s="115">
        <v>1.7</v>
      </c>
      <c r="Q97" s="115">
        <v>2.13</v>
      </c>
      <c r="R97" s="115">
        <v>2.13</v>
      </c>
      <c r="S97" s="115">
        <v>2.13</v>
      </c>
      <c r="T97" s="115">
        <v>0.85</v>
      </c>
      <c r="U97" s="115">
        <v>0.85</v>
      </c>
      <c r="V97" s="115">
        <v>2</v>
      </c>
      <c r="W97" s="116">
        <v>41355</v>
      </c>
      <c r="X97" s="116"/>
      <c r="Y97" s="117" t="s">
        <v>345</v>
      </c>
    </row>
    <row r="98" spans="1:25" ht="21" customHeight="1">
      <c r="A98" s="69" t="s">
        <v>898</v>
      </c>
      <c r="B98" s="70" t="s">
        <v>14</v>
      </c>
      <c r="C98" s="70" t="s">
        <v>362</v>
      </c>
      <c r="D98" s="3" t="s">
        <v>18</v>
      </c>
      <c r="E98" s="3">
        <v>2</v>
      </c>
      <c r="F98" s="3"/>
      <c r="G98" s="3" t="s">
        <v>344</v>
      </c>
      <c r="H98" s="71" t="s">
        <v>899</v>
      </c>
      <c r="I98" s="72">
        <v>1946</v>
      </c>
      <c r="J98" s="72">
        <v>1970</v>
      </c>
      <c r="K98" s="115">
        <v>1.8</v>
      </c>
      <c r="L98" s="115">
        <v>3.5</v>
      </c>
      <c r="M98" s="115">
        <v>1.8</v>
      </c>
      <c r="N98" s="115">
        <v>3.5</v>
      </c>
      <c r="O98" s="115">
        <v>3.5</v>
      </c>
      <c r="P98" s="115">
        <v>1.8</v>
      </c>
      <c r="Q98" s="115">
        <v>1.7</v>
      </c>
      <c r="R98" s="115">
        <v>1.7</v>
      </c>
      <c r="S98" s="115">
        <v>1.7</v>
      </c>
      <c r="T98" s="115">
        <v>0.85</v>
      </c>
      <c r="U98" s="115">
        <v>0.85</v>
      </c>
      <c r="V98" s="115">
        <v>0.85</v>
      </c>
      <c r="W98" s="116">
        <v>41355</v>
      </c>
      <c r="X98" s="116"/>
      <c r="Y98" s="117" t="s">
        <v>345</v>
      </c>
    </row>
    <row r="99" spans="1:25" ht="21" customHeight="1">
      <c r="A99" s="69" t="s">
        <v>900</v>
      </c>
      <c r="B99" s="70" t="s">
        <v>14</v>
      </c>
      <c r="C99" s="70" t="s">
        <v>362</v>
      </c>
      <c r="D99" s="3" t="s">
        <v>18</v>
      </c>
      <c r="E99" s="3">
        <v>3</v>
      </c>
      <c r="F99" s="3"/>
      <c r="G99" s="3" t="s">
        <v>344</v>
      </c>
      <c r="H99" s="71" t="s">
        <v>901</v>
      </c>
      <c r="I99" s="72">
        <v>1971</v>
      </c>
      <c r="J99" s="72">
        <v>1990</v>
      </c>
      <c r="K99" s="115">
        <v>1.1000000000000001</v>
      </c>
      <c r="L99" s="115">
        <v>1.1000000000000001</v>
      </c>
      <c r="M99" s="115">
        <v>1.1000000000000001</v>
      </c>
      <c r="N99" s="115">
        <v>1.1000000000000001</v>
      </c>
      <c r="O99" s="115">
        <v>1.1000000000000001</v>
      </c>
      <c r="P99" s="115">
        <v>1.1000000000000001</v>
      </c>
      <c r="Q99" s="115">
        <v>1.53</v>
      </c>
      <c r="R99" s="115">
        <v>1.53</v>
      </c>
      <c r="S99" s="115">
        <v>0.5</v>
      </c>
      <c r="T99" s="115">
        <v>0.85</v>
      </c>
      <c r="U99" s="115">
        <v>0.85</v>
      </c>
      <c r="V99" s="115">
        <v>0.85</v>
      </c>
      <c r="W99" s="116">
        <v>41355</v>
      </c>
      <c r="X99" s="116"/>
      <c r="Y99" s="117" t="s">
        <v>345</v>
      </c>
    </row>
    <row r="100" spans="1:25" ht="21" customHeight="1">
      <c r="A100" s="69" t="s">
        <v>902</v>
      </c>
      <c r="B100" s="70" t="s">
        <v>14</v>
      </c>
      <c r="C100" s="70" t="s">
        <v>362</v>
      </c>
      <c r="D100" s="3" t="s">
        <v>18</v>
      </c>
      <c r="E100" s="3">
        <v>4</v>
      </c>
      <c r="F100" s="3"/>
      <c r="G100" s="3" t="s">
        <v>344</v>
      </c>
      <c r="H100" s="71" t="s">
        <v>903</v>
      </c>
      <c r="I100" s="72">
        <v>1991</v>
      </c>
      <c r="J100" s="72">
        <v>2005</v>
      </c>
      <c r="K100" s="115">
        <v>0.65</v>
      </c>
      <c r="L100" s="115">
        <v>0.53</v>
      </c>
      <c r="M100" s="115">
        <v>0.65</v>
      </c>
      <c r="N100" s="115">
        <v>0.53</v>
      </c>
      <c r="O100" s="115">
        <v>0.53</v>
      </c>
      <c r="P100" s="115">
        <v>0.65</v>
      </c>
      <c r="Q100" s="115">
        <v>0.68</v>
      </c>
      <c r="R100" s="115">
        <v>0.68</v>
      </c>
      <c r="S100" s="115">
        <v>0.5</v>
      </c>
      <c r="T100" s="115">
        <v>0.75</v>
      </c>
      <c r="U100" s="115">
        <v>0.75</v>
      </c>
      <c r="V100" s="115">
        <v>0.75</v>
      </c>
      <c r="W100" s="116">
        <v>41355</v>
      </c>
      <c r="X100" s="116"/>
      <c r="Y100" s="117" t="s">
        <v>345</v>
      </c>
    </row>
    <row r="101" spans="1:25" ht="21" customHeight="1">
      <c r="A101" s="69" t="s">
        <v>904</v>
      </c>
      <c r="B101" s="70" t="s">
        <v>14</v>
      </c>
      <c r="C101" s="70" t="s">
        <v>362</v>
      </c>
      <c r="D101" s="3" t="s">
        <v>18</v>
      </c>
      <c r="E101" s="3">
        <v>5</v>
      </c>
      <c r="F101" s="3"/>
      <c r="G101" s="3" t="s">
        <v>344</v>
      </c>
      <c r="H101" s="71" t="s">
        <v>905</v>
      </c>
      <c r="I101" s="72">
        <v>2006</v>
      </c>
      <c r="J101" s="72">
        <v>2011</v>
      </c>
      <c r="K101" s="115">
        <v>0.35</v>
      </c>
      <c r="L101" s="115">
        <v>0.35</v>
      </c>
      <c r="M101" s="115">
        <v>0.35</v>
      </c>
      <c r="N101" s="115">
        <v>0.35</v>
      </c>
      <c r="O101" s="115">
        <v>0.35</v>
      </c>
      <c r="P101" s="115">
        <v>0.35</v>
      </c>
      <c r="Q101" s="115">
        <v>0.5</v>
      </c>
      <c r="R101" s="115">
        <v>0.5</v>
      </c>
      <c r="S101" s="115">
        <v>0.38</v>
      </c>
      <c r="T101" s="115">
        <v>0.47</v>
      </c>
      <c r="U101" s="115">
        <v>0.47</v>
      </c>
      <c r="V101" s="115">
        <v>0.47</v>
      </c>
      <c r="W101" s="116">
        <v>41355</v>
      </c>
      <c r="X101" s="116"/>
      <c r="Y101" s="117" t="s">
        <v>345</v>
      </c>
    </row>
    <row r="102" spans="1:25" ht="21" customHeight="1">
      <c r="A102" s="69" t="s">
        <v>906</v>
      </c>
      <c r="B102" s="70" t="s">
        <v>14</v>
      </c>
      <c r="C102" s="70" t="s">
        <v>362</v>
      </c>
      <c r="D102" s="3" t="s">
        <v>18</v>
      </c>
      <c r="E102" s="3">
        <v>6</v>
      </c>
      <c r="F102" s="3"/>
      <c r="G102" s="3" t="s">
        <v>344</v>
      </c>
      <c r="H102" s="71" t="s">
        <v>907</v>
      </c>
      <c r="I102" s="72">
        <v>2012</v>
      </c>
      <c r="J102" s="72">
        <v>9999</v>
      </c>
      <c r="K102" s="115">
        <v>0.3</v>
      </c>
      <c r="L102" s="115">
        <v>0.3</v>
      </c>
      <c r="M102" s="115">
        <v>0.3</v>
      </c>
      <c r="N102" s="115">
        <v>0.3</v>
      </c>
      <c r="O102" s="115">
        <v>0.3</v>
      </c>
      <c r="P102" s="115">
        <v>0.3</v>
      </c>
      <c r="Q102" s="115">
        <v>0.4</v>
      </c>
      <c r="R102" s="115">
        <v>0.4</v>
      </c>
      <c r="S102" s="115">
        <v>0.38</v>
      </c>
      <c r="T102" s="115">
        <v>0.4</v>
      </c>
      <c r="U102" s="115">
        <v>0.4</v>
      </c>
      <c r="V102" s="115">
        <v>0.4</v>
      </c>
      <c r="W102" s="116">
        <v>41355</v>
      </c>
      <c r="X102" s="116"/>
      <c r="Y102" s="117" t="s">
        <v>345</v>
      </c>
    </row>
    <row r="103" spans="1:25" ht="21" customHeight="1">
      <c r="A103" s="69" t="s">
        <v>908</v>
      </c>
      <c r="B103" s="70" t="s">
        <v>14</v>
      </c>
      <c r="C103" s="70" t="s">
        <v>363</v>
      </c>
      <c r="D103" s="3" t="s">
        <v>18</v>
      </c>
      <c r="E103" s="3">
        <v>1</v>
      </c>
      <c r="F103" s="3"/>
      <c r="G103" s="3"/>
      <c r="H103" s="71" t="s">
        <v>909</v>
      </c>
      <c r="I103" s="72">
        <v>0</v>
      </c>
      <c r="J103" s="72">
        <v>1900</v>
      </c>
      <c r="K103" s="115"/>
      <c r="L103" s="115"/>
      <c r="M103" s="115"/>
      <c r="N103" s="115"/>
      <c r="O103" s="115"/>
      <c r="P103" s="115"/>
      <c r="Q103" s="115"/>
      <c r="R103" s="115"/>
      <c r="S103" s="115"/>
      <c r="T103" s="115"/>
      <c r="U103" s="115"/>
      <c r="V103" s="115"/>
      <c r="W103" s="116"/>
      <c r="X103" s="116"/>
      <c r="Y103" s="117" t="s">
        <v>364</v>
      </c>
    </row>
    <row r="104" spans="1:25" ht="21" customHeight="1">
      <c r="A104" s="69" t="s">
        <v>910</v>
      </c>
      <c r="B104" s="70" t="s">
        <v>14</v>
      </c>
      <c r="C104" s="70" t="s">
        <v>363</v>
      </c>
      <c r="D104" s="3" t="s">
        <v>18</v>
      </c>
      <c r="E104" s="3">
        <v>2</v>
      </c>
      <c r="F104" s="3"/>
      <c r="G104" s="3"/>
      <c r="H104" s="71" t="s">
        <v>911</v>
      </c>
      <c r="I104" s="72">
        <v>1901</v>
      </c>
      <c r="J104" s="72">
        <v>1936</v>
      </c>
      <c r="K104" s="115"/>
      <c r="L104" s="115"/>
      <c r="M104" s="115"/>
      <c r="N104" s="115"/>
      <c r="O104" s="115"/>
      <c r="P104" s="115"/>
      <c r="Q104" s="115"/>
      <c r="R104" s="115"/>
      <c r="S104" s="115"/>
      <c r="T104" s="115"/>
      <c r="U104" s="115"/>
      <c r="V104" s="115"/>
      <c r="W104" s="116"/>
      <c r="X104" s="116"/>
      <c r="Y104" s="117" t="s">
        <v>364</v>
      </c>
    </row>
    <row r="105" spans="1:25" ht="21" customHeight="1">
      <c r="A105" s="69" t="s">
        <v>912</v>
      </c>
      <c r="B105" s="70" t="s">
        <v>14</v>
      </c>
      <c r="C105" s="70" t="s">
        <v>363</v>
      </c>
      <c r="D105" s="3" t="s">
        <v>18</v>
      </c>
      <c r="E105" s="3">
        <v>3</v>
      </c>
      <c r="F105" s="3"/>
      <c r="G105" s="3"/>
      <c r="H105" s="71" t="s">
        <v>913</v>
      </c>
      <c r="I105" s="72">
        <v>1937</v>
      </c>
      <c r="J105" s="72">
        <v>1959</v>
      </c>
      <c r="K105" s="115"/>
      <c r="L105" s="115"/>
      <c r="M105" s="115"/>
      <c r="N105" s="115"/>
      <c r="O105" s="115"/>
      <c r="P105" s="115"/>
      <c r="Q105" s="115"/>
      <c r="R105" s="115"/>
      <c r="S105" s="115"/>
      <c r="T105" s="115"/>
      <c r="U105" s="115"/>
      <c r="V105" s="115"/>
      <c r="W105" s="116"/>
      <c r="X105" s="116"/>
      <c r="Y105" s="117" t="s">
        <v>364</v>
      </c>
    </row>
    <row r="106" spans="1:25" ht="21" customHeight="1">
      <c r="A106" s="69" t="s">
        <v>914</v>
      </c>
      <c r="B106" s="70" t="s">
        <v>14</v>
      </c>
      <c r="C106" s="70" t="s">
        <v>363</v>
      </c>
      <c r="D106" s="3" t="s">
        <v>18</v>
      </c>
      <c r="E106" s="3">
        <v>4</v>
      </c>
      <c r="F106" s="3"/>
      <c r="G106" s="3" t="s">
        <v>344</v>
      </c>
      <c r="H106" s="71" t="s">
        <v>915</v>
      </c>
      <c r="I106" s="72">
        <v>1960</v>
      </c>
      <c r="J106" s="72">
        <v>1979</v>
      </c>
      <c r="K106" s="115">
        <v>1.61</v>
      </c>
      <c r="L106" s="115">
        <v>1.61</v>
      </c>
      <c r="M106" s="115">
        <v>1.61</v>
      </c>
      <c r="N106" s="115">
        <v>1.61</v>
      </c>
      <c r="O106" s="115">
        <v>1.61</v>
      </c>
      <c r="P106" s="115">
        <v>1.61</v>
      </c>
      <c r="Q106" s="115">
        <v>1.64</v>
      </c>
      <c r="R106" s="115">
        <v>1.64</v>
      </c>
      <c r="S106" s="115">
        <v>1.64</v>
      </c>
      <c r="T106" s="115">
        <v>1.74</v>
      </c>
      <c r="U106" s="115">
        <v>1.74</v>
      </c>
      <c r="V106" s="115">
        <v>1.74</v>
      </c>
      <c r="W106" s="116">
        <v>41355</v>
      </c>
      <c r="X106" s="116"/>
      <c r="Y106" s="117" t="s">
        <v>345</v>
      </c>
    </row>
    <row r="107" spans="1:25" ht="21" customHeight="1">
      <c r="A107" s="69" t="s">
        <v>916</v>
      </c>
      <c r="B107" s="70" t="s">
        <v>14</v>
      </c>
      <c r="C107" s="70" t="s">
        <v>363</v>
      </c>
      <c r="D107" s="3" t="s">
        <v>18</v>
      </c>
      <c r="E107" s="3">
        <v>5</v>
      </c>
      <c r="F107" s="3"/>
      <c r="G107" s="3" t="s">
        <v>344</v>
      </c>
      <c r="H107" s="71" t="s">
        <v>917</v>
      </c>
      <c r="I107" s="72">
        <v>1980</v>
      </c>
      <c r="J107" s="72">
        <v>2006</v>
      </c>
      <c r="K107" s="115">
        <v>1.61</v>
      </c>
      <c r="L107" s="115">
        <v>1.61</v>
      </c>
      <c r="M107" s="115">
        <v>1.61</v>
      </c>
      <c r="N107" s="115">
        <v>1.61</v>
      </c>
      <c r="O107" s="115">
        <v>1.61</v>
      </c>
      <c r="P107" s="115">
        <v>1.61</v>
      </c>
      <c r="Q107" s="115">
        <v>1.64</v>
      </c>
      <c r="R107" s="115">
        <v>1.64</v>
      </c>
      <c r="S107" s="115">
        <v>1.64</v>
      </c>
      <c r="T107" s="115">
        <v>1.74</v>
      </c>
      <c r="U107" s="115">
        <v>1.74</v>
      </c>
      <c r="V107" s="115">
        <v>1.74</v>
      </c>
      <c r="W107" s="116">
        <v>41355</v>
      </c>
      <c r="X107" s="116"/>
      <c r="Y107" s="117" t="s">
        <v>345</v>
      </c>
    </row>
    <row r="108" spans="1:25" ht="21" customHeight="1">
      <c r="A108" s="69" t="s">
        <v>918</v>
      </c>
      <c r="B108" s="70" t="s">
        <v>14</v>
      </c>
      <c r="C108" s="70" t="s">
        <v>363</v>
      </c>
      <c r="D108" s="3" t="s">
        <v>18</v>
      </c>
      <c r="E108" s="3">
        <v>6</v>
      </c>
      <c r="F108" s="3"/>
      <c r="G108" s="3"/>
      <c r="H108" s="71" t="s">
        <v>919</v>
      </c>
      <c r="I108" s="72">
        <v>2007</v>
      </c>
      <c r="J108" s="72">
        <v>9999</v>
      </c>
      <c r="K108" s="115">
        <v>1.61</v>
      </c>
      <c r="L108" s="115">
        <v>1.61</v>
      </c>
      <c r="M108" s="115">
        <v>1.61</v>
      </c>
      <c r="N108" s="115">
        <v>1.61</v>
      </c>
      <c r="O108" s="115">
        <v>1.61</v>
      </c>
      <c r="P108" s="115">
        <v>1.61</v>
      </c>
      <c r="Q108" s="115">
        <v>1.64</v>
      </c>
      <c r="R108" s="115">
        <v>1.64</v>
      </c>
      <c r="S108" s="115">
        <v>1.64</v>
      </c>
      <c r="T108" s="115">
        <v>1.74</v>
      </c>
      <c r="U108" s="115">
        <v>1.74</v>
      </c>
      <c r="V108" s="115">
        <v>1.74</v>
      </c>
      <c r="W108" s="116">
        <v>41355</v>
      </c>
      <c r="X108" s="116"/>
      <c r="Y108" s="117" t="s">
        <v>345</v>
      </c>
    </row>
    <row r="109" spans="1:25" ht="21" customHeight="1">
      <c r="A109" s="69" t="s">
        <v>920</v>
      </c>
      <c r="B109" s="70" t="s">
        <v>14</v>
      </c>
      <c r="C109" s="70" t="s">
        <v>365</v>
      </c>
      <c r="D109" s="3" t="s">
        <v>18</v>
      </c>
      <c r="E109" s="3">
        <v>1</v>
      </c>
      <c r="F109" s="3"/>
      <c r="G109" s="3"/>
      <c r="H109" s="71" t="s">
        <v>921</v>
      </c>
      <c r="I109" s="72">
        <v>0</v>
      </c>
      <c r="J109" s="72">
        <v>1914</v>
      </c>
      <c r="K109" s="115"/>
      <c r="L109" s="115"/>
      <c r="M109" s="115"/>
      <c r="N109" s="115"/>
      <c r="O109" s="115"/>
      <c r="P109" s="115"/>
      <c r="Q109" s="115"/>
      <c r="R109" s="115"/>
      <c r="S109" s="115"/>
      <c r="T109" s="115"/>
      <c r="U109" s="115"/>
      <c r="V109" s="115"/>
      <c r="W109" s="116"/>
      <c r="X109" s="116"/>
      <c r="Y109" s="117" t="s">
        <v>364</v>
      </c>
    </row>
    <row r="110" spans="1:25" ht="21" customHeight="1">
      <c r="A110" s="69" t="s">
        <v>922</v>
      </c>
      <c r="B110" s="70" t="s">
        <v>14</v>
      </c>
      <c r="C110" s="70" t="s">
        <v>365</v>
      </c>
      <c r="D110" s="3" t="s">
        <v>18</v>
      </c>
      <c r="E110" s="3">
        <v>2</v>
      </c>
      <c r="F110" s="3"/>
      <c r="G110" s="3"/>
      <c r="H110" s="71" t="s">
        <v>923</v>
      </c>
      <c r="I110" s="72">
        <v>1915</v>
      </c>
      <c r="J110" s="72">
        <v>1948</v>
      </c>
      <c r="K110" s="115">
        <v>0.25</v>
      </c>
      <c r="L110" s="115">
        <v>0.25</v>
      </c>
      <c r="M110" s="115">
        <v>0.25</v>
      </c>
      <c r="N110" s="115">
        <v>3.28</v>
      </c>
      <c r="O110" s="115">
        <v>3.28</v>
      </c>
      <c r="P110" s="115">
        <v>1.85</v>
      </c>
      <c r="Q110" s="115">
        <v>1.77</v>
      </c>
      <c r="R110" s="115">
        <v>1.77</v>
      </c>
      <c r="S110" s="115">
        <v>1.5</v>
      </c>
      <c r="T110" s="115">
        <v>3.62</v>
      </c>
      <c r="U110" s="115">
        <v>3.62</v>
      </c>
      <c r="V110" s="115">
        <v>3</v>
      </c>
      <c r="W110" s="116">
        <v>41355</v>
      </c>
      <c r="X110" s="116"/>
      <c r="Y110" s="117" t="s">
        <v>345</v>
      </c>
    </row>
    <row r="111" spans="1:25" ht="21" customHeight="1">
      <c r="A111" s="69" t="s">
        <v>924</v>
      </c>
      <c r="B111" s="70" t="s">
        <v>14</v>
      </c>
      <c r="C111" s="70" t="s">
        <v>365</v>
      </c>
      <c r="D111" s="3" t="s">
        <v>18</v>
      </c>
      <c r="E111" s="3">
        <v>3</v>
      </c>
      <c r="F111" s="3"/>
      <c r="G111" s="3"/>
      <c r="H111" s="71" t="s">
        <v>925</v>
      </c>
      <c r="I111" s="72">
        <v>1949</v>
      </c>
      <c r="J111" s="72">
        <v>1967</v>
      </c>
      <c r="K111" s="115"/>
      <c r="L111" s="115"/>
      <c r="M111" s="115"/>
      <c r="N111" s="115"/>
      <c r="O111" s="115"/>
      <c r="P111" s="115"/>
      <c r="Q111" s="115"/>
      <c r="R111" s="115"/>
      <c r="S111" s="115"/>
      <c r="T111" s="115"/>
      <c r="U111" s="115"/>
      <c r="V111" s="115"/>
      <c r="W111" s="116"/>
      <c r="X111" s="116"/>
      <c r="Y111" s="117" t="s">
        <v>364</v>
      </c>
    </row>
    <row r="112" spans="1:25" ht="21" customHeight="1">
      <c r="A112" s="69" t="s">
        <v>926</v>
      </c>
      <c r="B112" s="70" t="s">
        <v>14</v>
      </c>
      <c r="C112" s="70" t="s">
        <v>365</v>
      </c>
      <c r="D112" s="3" t="s">
        <v>18</v>
      </c>
      <c r="E112" s="3">
        <v>4</v>
      </c>
      <c r="F112" s="3"/>
      <c r="G112" s="3"/>
      <c r="H112" s="71" t="s">
        <v>927</v>
      </c>
      <c r="I112" s="72">
        <v>1968</v>
      </c>
      <c r="J112" s="72">
        <v>1974</v>
      </c>
      <c r="K112" s="115"/>
      <c r="L112" s="115"/>
      <c r="M112" s="115"/>
      <c r="N112" s="115"/>
      <c r="O112" s="115"/>
      <c r="P112" s="115"/>
      <c r="Q112" s="115"/>
      <c r="R112" s="115"/>
      <c r="S112" s="115"/>
      <c r="T112" s="115"/>
      <c r="U112" s="115"/>
      <c r="V112" s="115"/>
      <c r="W112" s="116"/>
      <c r="X112" s="116"/>
      <c r="Y112" s="117" t="s">
        <v>364</v>
      </c>
    </row>
    <row r="113" spans="1:25" ht="21" customHeight="1">
      <c r="A113" s="69" t="s">
        <v>928</v>
      </c>
      <c r="B113" s="70" t="s">
        <v>14</v>
      </c>
      <c r="C113" s="70" t="s">
        <v>365</v>
      </c>
      <c r="D113" s="3" t="s">
        <v>18</v>
      </c>
      <c r="E113" s="3">
        <v>5</v>
      </c>
      <c r="F113" s="3"/>
      <c r="G113" s="3"/>
      <c r="H113" s="71" t="s">
        <v>929</v>
      </c>
      <c r="I113" s="72">
        <v>1975</v>
      </c>
      <c r="J113" s="72">
        <v>1981</v>
      </c>
      <c r="K113" s="115"/>
      <c r="L113" s="115"/>
      <c r="M113" s="115"/>
      <c r="N113" s="115"/>
      <c r="O113" s="115"/>
      <c r="P113" s="115"/>
      <c r="Q113" s="115"/>
      <c r="R113" s="115"/>
      <c r="S113" s="115"/>
      <c r="T113" s="115"/>
      <c r="U113" s="115"/>
      <c r="V113" s="115"/>
      <c r="W113" s="116"/>
      <c r="X113" s="116"/>
      <c r="Y113" s="117" t="s">
        <v>364</v>
      </c>
    </row>
    <row r="114" spans="1:25" ht="21" customHeight="1">
      <c r="A114" s="69" t="s">
        <v>930</v>
      </c>
      <c r="B114" s="70" t="s">
        <v>14</v>
      </c>
      <c r="C114" s="70" t="s">
        <v>365</v>
      </c>
      <c r="D114" s="3" t="s">
        <v>18</v>
      </c>
      <c r="E114" s="3">
        <v>6</v>
      </c>
      <c r="F114" s="3"/>
      <c r="G114" s="3" t="s">
        <v>344</v>
      </c>
      <c r="H114" s="71" t="s">
        <v>931</v>
      </c>
      <c r="I114" s="72">
        <v>1982</v>
      </c>
      <c r="J114" s="72">
        <v>1989</v>
      </c>
      <c r="K114" s="115">
        <v>2.56</v>
      </c>
      <c r="L114" s="115">
        <v>2.56</v>
      </c>
      <c r="M114" s="115">
        <v>2.56</v>
      </c>
      <c r="N114" s="115">
        <v>3.28</v>
      </c>
      <c r="O114" s="115">
        <v>3.28</v>
      </c>
      <c r="P114" s="115">
        <v>1.85</v>
      </c>
      <c r="Q114" s="115">
        <v>2.2000000000000002</v>
      </c>
      <c r="R114" s="115">
        <v>2.2000000000000002</v>
      </c>
      <c r="S114" s="115">
        <v>1.91</v>
      </c>
      <c r="T114" s="115">
        <v>1.41</v>
      </c>
      <c r="U114" s="115">
        <v>1.41</v>
      </c>
      <c r="V114" s="115">
        <v>1.41</v>
      </c>
      <c r="W114" s="116">
        <v>41355</v>
      </c>
      <c r="X114" s="116"/>
      <c r="Y114" s="117" t="s">
        <v>345</v>
      </c>
    </row>
    <row r="115" spans="1:25" ht="21" customHeight="1">
      <c r="A115" s="69" t="s">
        <v>932</v>
      </c>
      <c r="B115" s="70" t="s">
        <v>14</v>
      </c>
      <c r="C115" s="70" t="s">
        <v>365</v>
      </c>
      <c r="D115" s="3" t="s">
        <v>18</v>
      </c>
      <c r="E115" s="3">
        <v>7</v>
      </c>
      <c r="F115" s="3"/>
      <c r="G115" s="3" t="s">
        <v>344</v>
      </c>
      <c r="H115" s="71" t="s">
        <v>933</v>
      </c>
      <c r="I115" s="72">
        <v>1990</v>
      </c>
      <c r="J115" s="72">
        <v>1999</v>
      </c>
      <c r="K115" s="115">
        <v>4.16</v>
      </c>
      <c r="L115" s="115">
        <v>4.16</v>
      </c>
      <c r="M115" s="115">
        <v>4.16</v>
      </c>
      <c r="N115" s="115">
        <v>4.16</v>
      </c>
      <c r="O115" s="115">
        <v>4.16</v>
      </c>
      <c r="P115" s="115">
        <v>4.16</v>
      </c>
      <c r="Q115" s="115">
        <v>3.03</v>
      </c>
      <c r="R115" s="115">
        <v>3.03</v>
      </c>
      <c r="S115" s="115">
        <v>3.03</v>
      </c>
      <c r="T115" s="115">
        <v>0.7</v>
      </c>
      <c r="U115" s="115">
        <v>0.7</v>
      </c>
      <c r="V115" s="115">
        <v>0.7</v>
      </c>
      <c r="W115" s="116">
        <v>41355</v>
      </c>
      <c r="X115" s="116"/>
      <c r="Y115" s="117" t="s">
        <v>345</v>
      </c>
    </row>
    <row r="116" spans="1:25" ht="21" customHeight="1">
      <c r="A116" s="69" t="s">
        <v>934</v>
      </c>
      <c r="B116" s="70" t="s">
        <v>14</v>
      </c>
      <c r="C116" s="70" t="s">
        <v>365</v>
      </c>
      <c r="D116" s="3" t="s">
        <v>18</v>
      </c>
      <c r="E116" s="3">
        <v>8</v>
      </c>
      <c r="F116" s="3"/>
      <c r="G116" s="3" t="s">
        <v>344</v>
      </c>
      <c r="H116" s="71" t="s">
        <v>935</v>
      </c>
      <c r="I116" s="72">
        <v>2000</v>
      </c>
      <c r="J116" s="72">
        <v>2005</v>
      </c>
      <c r="K116" s="115">
        <v>0.5</v>
      </c>
      <c r="L116" s="115">
        <v>0.5</v>
      </c>
      <c r="M116" s="115">
        <v>0.5</v>
      </c>
      <c r="N116" s="115">
        <v>0.5</v>
      </c>
      <c r="O116" s="115">
        <v>0.5</v>
      </c>
      <c r="P116" s="115">
        <v>0.5</v>
      </c>
      <c r="Q116" s="115">
        <v>1.74</v>
      </c>
      <c r="R116" s="115">
        <v>1.74</v>
      </c>
      <c r="S116" s="115">
        <v>1.74</v>
      </c>
      <c r="T116" s="115">
        <v>0.59</v>
      </c>
      <c r="U116" s="115">
        <v>0.59</v>
      </c>
      <c r="V116" s="115">
        <v>0.59</v>
      </c>
      <c r="W116" s="116">
        <v>41355</v>
      </c>
      <c r="X116" s="116"/>
      <c r="Y116" s="117" t="s">
        <v>345</v>
      </c>
    </row>
    <row r="117" spans="1:25" ht="21" customHeight="1">
      <c r="A117" s="69" t="s">
        <v>936</v>
      </c>
      <c r="B117" s="70" t="s">
        <v>14</v>
      </c>
      <c r="C117" s="70" t="s">
        <v>365</v>
      </c>
      <c r="D117" s="3" t="s">
        <v>18</v>
      </c>
      <c r="E117" s="3">
        <v>9</v>
      </c>
      <c r="F117" s="3"/>
      <c r="G117" s="3" t="s">
        <v>344</v>
      </c>
      <c r="H117" s="71" t="s">
        <v>937</v>
      </c>
      <c r="I117" s="72">
        <v>2006</v>
      </c>
      <c r="J117" s="72">
        <v>2012</v>
      </c>
      <c r="K117" s="115"/>
      <c r="L117" s="115"/>
      <c r="M117" s="115"/>
      <c r="N117" s="115"/>
      <c r="O117" s="115"/>
      <c r="P117" s="115"/>
      <c r="Q117" s="115">
        <v>0.86</v>
      </c>
      <c r="R117" s="115">
        <v>0.86</v>
      </c>
      <c r="S117" s="115">
        <v>0.86</v>
      </c>
      <c r="T117" s="115">
        <v>0.86</v>
      </c>
      <c r="U117" s="115">
        <v>0.86</v>
      </c>
      <c r="V117" s="115">
        <v>0.86</v>
      </c>
      <c r="W117" s="116">
        <v>41355</v>
      </c>
      <c r="X117" s="116"/>
      <c r="Y117" s="117" t="s">
        <v>345</v>
      </c>
    </row>
    <row r="118" spans="1:25" ht="21" customHeight="1">
      <c r="A118" s="69" t="s">
        <v>938</v>
      </c>
      <c r="B118" s="70" t="s">
        <v>14</v>
      </c>
      <c r="C118" s="70" t="s">
        <v>365</v>
      </c>
      <c r="D118" s="3" t="s">
        <v>18</v>
      </c>
      <c r="E118" s="3">
        <v>10</v>
      </c>
      <c r="F118" s="3"/>
      <c r="G118" s="3"/>
      <c r="H118" s="71" t="s">
        <v>939</v>
      </c>
      <c r="I118" s="72">
        <v>2013</v>
      </c>
      <c r="J118" s="72">
        <v>9999</v>
      </c>
      <c r="K118" s="115">
        <v>0.12</v>
      </c>
      <c r="L118" s="115">
        <v>0.12</v>
      </c>
      <c r="M118" s="115">
        <v>0.12</v>
      </c>
      <c r="N118" s="115">
        <v>0.12</v>
      </c>
      <c r="O118" s="115">
        <v>0.12</v>
      </c>
      <c r="P118" s="115">
        <v>0.12</v>
      </c>
      <c r="Q118" s="115">
        <v>0.17</v>
      </c>
      <c r="R118" s="115">
        <v>0.17</v>
      </c>
      <c r="S118" s="115">
        <v>0.17</v>
      </c>
      <c r="T118" s="115">
        <v>0.2</v>
      </c>
      <c r="U118" s="115">
        <v>0.2</v>
      </c>
      <c r="V118" s="115">
        <v>0.2</v>
      </c>
      <c r="W118" s="116">
        <v>41832</v>
      </c>
      <c r="X118" s="116"/>
      <c r="Y118" s="117"/>
    </row>
    <row r="119" spans="1:25" ht="21" customHeight="1">
      <c r="A119" s="69" t="s">
        <v>940</v>
      </c>
      <c r="B119" s="70" t="s">
        <v>14</v>
      </c>
      <c r="C119" s="70" t="s">
        <v>366</v>
      </c>
      <c r="D119" s="3" t="s">
        <v>18</v>
      </c>
      <c r="E119" s="3">
        <v>1</v>
      </c>
      <c r="F119" s="3"/>
      <c r="G119" s="3"/>
      <c r="H119" s="71" t="s">
        <v>941</v>
      </c>
      <c r="I119" s="72">
        <v>0</v>
      </c>
      <c r="J119" s="72">
        <v>1850</v>
      </c>
      <c r="K119" s="115"/>
      <c r="L119" s="115"/>
      <c r="M119" s="115"/>
      <c r="N119" s="115"/>
      <c r="O119" s="115"/>
      <c r="P119" s="115"/>
      <c r="Q119" s="115"/>
      <c r="R119" s="115"/>
      <c r="S119" s="115"/>
      <c r="T119" s="115"/>
      <c r="U119" s="115"/>
      <c r="V119" s="115"/>
      <c r="W119" s="116"/>
      <c r="X119" s="116"/>
      <c r="Y119" s="117" t="s">
        <v>367</v>
      </c>
    </row>
    <row r="120" spans="1:25" ht="21" customHeight="1">
      <c r="A120" s="69" t="s">
        <v>942</v>
      </c>
      <c r="B120" s="70" t="s">
        <v>14</v>
      </c>
      <c r="C120" s="70" t="s">
        <v>366</v>
      </c>
      <c r="D120" s="3" t="s">
        <v>18</v>
      </c>
      <c r="E120" s="3">
        <v>2</v>
      </c>
      <c r="F120" s="3"/>
      <c r="G120" s="3"/>
      <c r="H120" s="71" t="s">
        <v>943</v>
      </c>
      <c r="I120" s="72">
        <v>1851</v>
      </c>
      <c r="J120" s="72">
        <v>1930</v>
      </c>
      <c r="K120" s="115"/>
      <c r="L120" s="115"/>
      <c r="M120" s="115"/>
      <c r="N120" s="115"/>
      <c r="O120" s="115"/>
      <c r="P120" s="115"/>
      <c r="Q120" s="115"/>
      <c r="R120" s="115"/>
      <c r="S120" s="115"/>
      <c r="T120" s="115"/>
      <c r="U120" s="115"/>
      <c r="V120" s="115"/>
      <c r="W120" s="116"/>
      <c r="X120" s="116"/>
      <c r="Y120" s="117" t="s">
        <v>367</v>
      </c>
    </row>
    <row r="121" spans="1:25" ht="21" customHeight="1">
      <c r="A121" s="69" t="s">
        <v>944</v>
      </c>
      <c r="B121" s="70" t="s">
        <v>14</v>
      </c>
      <c r="C121" s="70" t="s">
        <v>366</v>
      </c>
      <c r="D121" s="3" t="s">
        <v>18</v>
      </c>
      <c r="E121" s="3">
        <v>3</v>
      </c>
      <c r="F121" s="3"/>
      <c r="G121" s="3"/>
      <c r="H121" s="71" t="s">
        <v>945</v>
      </c>
      <c r="I121" s="72">
        <v>1931</v>
      </c>
      <c r="J121" s="72">
        <v>1950</v>
      </c>
      <c r="K121" s="115"/>
      <c r="L121" s="115"/>
      <c r="M121" s="115"/>
      <c r="N121" s="115"/>
      <c r="O121" s="115"/>
      <c r="P121" s="115"/>
      <c r="Q121" s="115"/>
      <c r="R121" s="115"/>
      <c r="S121" s="115"/>
      <c r="T121" s="115"/>
      <c r="U121" s="115"/>
      <c r="V121" s="115"/>
      <c r="W121" s="116"/>
      <c r="X121" s="116"/>
      <c r="Y121" s="117" t="s">
        <v>367</v>
      </c>
    </row>
    <row r="122" spans="1:25" ht="21" customHeight="1">
      <c r="A122" s="69" t="s">
        <v>946</v>
      </c>
      <c r="B122" s="70" t="s">
        <v>14</v>
      </c>
      <c r="C122" s="70" t="s">
        <v>366</v>
      </c>
      <c r="D122" s="3" t="s">
        <v>18</v>
      </c>
      <c r="E122" s="3">
        <v>4</v>
      </c>
      <c r="F122" s="3"/>
      <c r="G122" s="3"/>
      <c r="H122" s="71" t="s">
        <v>947</v>
      </c>
      <c r="I122" s="72">
        <v>1951</v>
      </c>
      <c r="J122" s="72">
        <v>1960</v>
      </c>
      <c r="K122" s="115"/>
      <c r="L122" s="115"/>
      <c r="M122" s="115"/>
      <c r="N122" s="115"/>
      <c r="O122" s="115"/>
      <c r="P122" s="115"/>
      <c r="Q122" s="115"/>
      <c r="R122" s="115"/>
      <c r="S122" s="115"/>
      <c r="T122" s="115"/>
      <c r="U122" s="115"/>
      <c r="V122" s="115"/>
      <c r="W122" s="116"/>
      <c r="X122" s="116"/>
      <c r="Y122" s="117" t="s">
        <v>367</v>
      </c>
    </row>
    <row r="123" spans="1:25" ht="21" customHeight="1">
      <c r="A123" s="69" t="s">
        <v>948</v>
      </c>
      <c r="B123" s="70" t="s">
        <v>14</v>
      </c>
      <c r="C123" s="70" t="s">
        <v>366</v>
      </c>
      <c r="D123" s="3" t="s">
        <v>18</v>
      </c>
      <c r="E123" s="3">
        <v>5</v>
      </c>
      <c r="F123" s="3"/>
      <c r="G123" s="3"/>
      <c r="H123" s="71" t="s">
        <v>949</v>
      </c>
      <c r="I123" s="72">
        <v>1961</v>
      </c>
      <c r="J123" s="72">
        <v>1972</v>
      </c>
      <c r="K123" s="115"/>
      <c r="L123" s="115"/>
      <c r="M123" s="115"/>
      <c r="N123" s="115"/>
      <c r="O123" s="115"/>
      <c r="P123" s="115"/>
      <c r="Q123" s="115"/>
      <c r="R123" s="115"/>
      <c r="S123" s="115"/>
      <c r="T123" s="115"/>
      <c r="U123" s="115"/>
      <c r="V123" s="115"/>
      <c r="W123" s="116"/>
      <c r="X123" s="116"/>
      <c r="Y123" s="117" t="s">
        <v>367</v>
      </c>
    </row>
    <row r="124" spans="1:25" ht="21" customHeight="1">
      <c r="A124" s="69" t="s">
        <v>950</v>
      </c>
      <c r="B124" s="70" t="s">
        <v>14</v>
      </c>
      <c r="C124" s="70" t="s">
        <v>366</v>
      </c>
      <c r="D124" s="3" t="s">
        <v>18</v>
      </c>
      <c r="E124" s="3">
        <v>6</v>
      </c>
      <c r="F124" s="3"/>
      <c r="G124" s="3"/>
      <c r="H124" s="71" t="s">
        <v>951</v>
      </c>
      <c r="I124" s="72">
        <v>1973</v>
      </c>
      <c r="J124" s="72">
        <v>1978</v>
      </c>
      <c r="K124" s="115"/>
      <c r="L124" s="115"/>
      <c r="M124" s="115"/>
      <c r="N124" s="115"/>
      <c r="O124" s="115"/>
      <c r="P124" s="115"/>
      <c r="Q124" s="115"/>
      <c r="R124" s="115"/>
      <c r="S124" s="115"/>
      <c r="T124" s="115"/>
      <c r="U124" s="115"/>
      <c r="V124" s="115"/>
      <c r="W124" s="116"/>
      <c r="X124" s="116"/>
      <c r="Y124" s="117" t="s">
        <v>367</v>
      </c>
    </row>
    <row r="125" spans="1:25" ht="21" customHeight="1">
      <c r="A125" s="69" t="s">
        <v>952</v>
      </c>
      <c r="B125" s="70" t="s">
        <v>14</v>
      </c>
      <c r="C125" s="70" t="s">
        <v>366</v>
      </c>
      <c r="D125" s="3" t="s">
        <v>18</v>
      </c>
      <c r="E125" s="3">
        <v>7</v>
      </c>
      <c r="F125" s="3"/>
      <c r="G125" s="3"/>
      <c r="H125" s="71" t="s">
        <v>953</v>
      </c>
      <c r="I125" s="72">
        <v>1979</v>
      </c>
      <c r="J125" s="72">
        <v>1998</v>
      </c>
      <c r="K125" s="115"/>
      <c r="L125" s="115"/>
      <c r="M125" s="115"/>
      <c r="N125" s="115"/>
      <c r="O125" s="115"/>
      <c r="P125" s="115"/>
      <c r="Q125" s="115"/>
      <c r="R125" s="115"/>
      <c r="S125" s="115"/>
      <c r="T125" s="115"/>
      <c r="U125" s="115"/>
      <c r="V125" s="115"/>
      <c r="W125" s="116"/>
      <c r="X125" s="116"/>
      <c r="Y125" s="117" t="s">
        <v>367</v>
      </c>
    </row>
    <row r="126" spans="1:25" ht="21" customHeight="1">
      <c r="A126" s="69" t="s">
        <v>954</v>
      </c>
      <c r="B126" s="70" t="s">
        <v>14</v>
      </c>
      <c r="C126" s="70" t="s">
        <v>366</v>
      </c>
      <c r="D126" s="3" t="s">
        <v>18</v>
      </c>
      <c r="E126" s="3">
        <v>8</v>
      </c>
      <c r="F126" s="3"/>
      <c r="G126" s="3"/>
      <c r="H126" s="71" t="s">
        <v>955</v>
      </c>
      <c r="I126" s="72">
        <v>1999</v>
      </c>
      <c r="J126" s="72">
        <v>2006</v>
      </c>
      <c r="K126" s="115"/>
      <c r="L126" s="115"/>
      <c r="M126" s="115"/>
      <c r="N126" s="115"/>
      <c r="O126" s="115"/>
      <c r="P126" s="115"/>
      <c r="Q126" s="115"/>
      <c r="R126" s="115"/>
      <c r="S126" s="115"/>
      <c r="T126" s="115"/>
      <c r="U126" s="115"/>
      <c r="V126" s="115"/>
      <c r="W126" s="116"/>
      <c r="X126" s="116"/>
      <c r="Y126" s="117" t="s">
        <v>367</v>
      </c>
    </row>
    <row r="127" spans="1:25" ht="21" customHeight="1">
      <c r="A127" s="69" t="s">
        <v>956</v>
      </c>
      <c r="B127" s="70" t="s">
        <v>14</v>
      </c>
      <c r="C127" s="70" t="s">
        <v>366</v>
      </c>
      <c r="D127" s="3" t="s">
        <v>18</v>
      </c>
      <c r="E127" s="3">
        <v>9</v>
      </c>
      <c r="F127" s="3"/>
      <c r="G127" s="3"/>
      <c r="H127" s="71" t="s">
        <v>957</v>
      </c>
      <c r="I127" s="72">
        <v>2007</v>
      </c>
      <c r="J127" s="72">
        <v>2010</v>
      </c>
      <c r="K127" s="115"/>
      <c r="L127" s="115"/>
      <c r="M127" s="115"/>
      <c r="N127" s="115"/>
      <c r="O127" s="115"/>
      <c r="P127" s="115"/>
      <c r="Q127" s="115"/>
      <c r="R127" s="115"/>
      <c r="S127" s="115"/>
      <c r="T127" s="115"/>
      <c r="U127" s="115"/>
      <c r="V127" s="115"/>
      <c r="W127" s="116"/>
      <c r="X127" s="116"/>
      <c r="Y127" s="117" t="s">
        <v>367</v>
      </c>
    </row>
    <row r="128" spans="1:25" ht="21" customHeight="1">
      <c r="A128" s="69" t="s">
        <v>958</v>
      </c>
      <c r="B128" s="70" t="s">
        <v>14</v>
      </c>
      <c r="C128" s="70" t="s">
        <v>366</v>
      </c>
      <c r="D128" s="3" t="s">
        <v>18</v>
      </c>
      <c r="E128" s="3">
        <v>10</v>
      </c>
      <c r="F128" s="3"/>
      <c r="G128" s="3"/>
      <c r="H128" s="71" t="s">
        <v>959</v>
      </c>
      <c r="I128" s="72">
        <v>2011</v>
      </c>
      <c r="J128" s="72">
        <v>9999</v>
      </c>
      <c r="K128" s="115"/>
      <c r="L128" s="115"/>
      <c r="M128" s="115"/>
      <c r="N128" s="115"/>
      <c r="O128" s="115"/>
      <c r="P128" s="115"/>
      <c r="Q128" s="115"/>
      <c r="R128" s="115"/>
      <c r="S128" s="115"/>
      <c r="T128" s="115"/>
      <c r="U128" s="115"/>
      <c r="V128" s="115"/>
      <c r="W128" s="116"/>
      <c r="X128" s="116"/>
      <c r="Y128" s="117" t="s">
        <v>367</v>
      </c>
    </row>
    <row r="129" spans="1:25" ht="21" customHeight="1">
      <c r="A129" s="69" t="s">
        <v>960</v>
      </c>
      <c r="B129" s="70" t="s">
        <v>14</v>
      </c>
      <c r="C129" s="70" t="s">
        <v>368</v>
      </c>
      <c r="D129" s="3" t="s">
        <v>18</v>
      </c>
      <c r="E129" s="3">
        <v>1</v>
      </c>
      <c r="F129" s="3"/>
      <c r="G129" s="3" t="s">
        <v>344</v>
      </c>
      <c r="H129" s="71" t="s">
        <v>961</v>
      </c>
      <c r="I129" s="72">
        <v>0</v>
      </c>
      <c r="J129" s="72">
        <v>1980</v>
      </c>
      <c r="K129" s="115">
        <v>2.63</v>
      </c>
      <c r="L129" s="115">
        <v>1.92</v>
      </c>
      <c r="M129" s="115">
        <v>2.63</v>
      </c>
      <c r="N129" s="115">
        <v>1.92</v>
      </c>
      <c r="O129" s="115">
        <v>1.92</v>
      </c>
      <c r="P129" s="115">
        <v>2.63</v>
      </c>
      <c r="Q129" s="115">
        <v>2.72</v>
      </c>
      <c r="R129" s="115">
        <v>2.72</v>
      </c>
      <c r="S129" s="115">
        <v>2.72</v>
      </c>
      <c r="T129" s="115">
        <v>1.91</v>
      </c>
      <c r="U129" s="115">
        <v>1.91</v>
      </c>
      <c r="V129" s="115">
        <v>1.91</v>
      </c>
      <c r="W129" s="116">
        <v>41355</v>
      </c>
      <c r="X129" s="116"/>
      <c r="Y129" s="117" t="s">
        <v>345</v>
      </c>
    </row>
    <row r="130" spans="1:25" ht="21" customHeight="1">
      <c r="A130" s="69" t="s">
        <v>962</v>
      </c>
      <c r="B130" s="70" t="s">
        <v>14</v>
      </c>
      <c r="C130" s="70" t="s">
        <v>368</v>
      </c>
      <c r="D130" s="3" t="s">
        <v>18</v>
      </c>
      <c r="E130" s="3">
        <v>2</v>
      </c>
      <c r="F130" s="3"/>
      <c r="G130" s="3" t="s">
        <v>344</v>
      </c>
      <c r="H130" s="71" t="s">
        <v>963</v>
      </c>
      <c r="I130" s="72">
        <v>1981</v>
      </c>
      <c r="J130" s="72">
        <v>2000</v>
      </c>
      <c r="K130" s="115">
        <v>0.68</v>
      </c>
      <c r="L130" s="115">
        <v>1.82</v>
      </c>
      <c r="M130" s="115">
        <v>0.68</v>
      </c>
      <c r="N130" s="115">
        <v>1.82</v>
      </c>
      <c r="O130" s="115">
        <v>1.82</v>
      </c>
      <c r="P130" s="115">
        <v>0.68</v>
      </c>
      <c r="Q130" s="115">
        <v>0.86</v>
      </c>
      <c r="R130" s="115">
        <v>0.86</v>
      </c>
      <c r="S130" s="115">
        <v>0.86</v>
      </c>
      <c r="T130" s="115">
        <v>1.21</v>
      </c>
      <c r="U130" s="115">
        <v>1.21</v>
      </c>
      <c r="V130" s="115">
        <v>1.21</v>
      </c>
      <c r="W130" s="116">
        <v>41355</v>
      </c>
      <c r="X130" s="116"/>
      <c r="Y130" s="117" t="s">
        <v>345</v>
      </c>
    </row>
    <row r="131" spans="1:25" ht="21" customHeight="1">
      <c r="A131" s="69" t="s">
        <v>964</v>
      </c>
      <c r="B131" s="70" t="s">
        <v>14</v>
      </c>
      <c r="C131" s="70" t="s">
        <v>368</v>
      </c>
      <c r="D131" s="3" t="s">
        <v>18</v>
      </c>
      <c r="E131" s="3">
        <v>3</v>
      </c>
      <c r="F131" s="3"/>
      <c r="G131" s="3" t="s">
        <v>344</v>
      </c>
      <c r="H131" s="71" t="s">
        <v>965</v>
      </c>
      <c r="I131" s="72">
        <v>2001</v>
      </c>
      <c r="J131" s="72">
        <v>2010</v>
      </c>
      <c r="K131" s="115">
        <v>0.68</v>
      </c>
      <c r="L131" s="115">
        <v>0.66</v>
      </c>
      <c r="M131" s="115">
        <v>0.68</v>
      </c>
      <c r="N131" s="115">
        <v>0.66</v>
      </c>
      <c r="O131" s="115">
        <v>0.66</v>
      </c>
      <c r="P131" s="115">
        <v>0.68</v>
      </c>
      <c r="Q131" s="115">
        <v>0.8</v>
      </c>
      <c r="R131" s="115">
        <v>0.8</v>
      </c>
      <c r="S131" s="115">
        <v>0.8</v>
      </c>
      <c r="T131" s="115">
        <v>1.25</v>
      </c>
      <c r="U131" s="115">
        <v>1.25</v>
      </c>
      <c r="V131" s="115">
        <v>1.25</v>
      </c>
      <c r="W131" s="116">
        <v>41355</v>
      </c>
      <c r="X131" s="116"/>
      <c r="Y131" s="117" t="s">
        <v>345</v>
      </c>
    </row>
    <row r="132" spans="1:25" ht="21" customHeight="1">
      <c r="A132" s="69" t="s">
        <v>966</v>
      </c>
      <c r="B132" s="70" t="s">
        <v>14</v>
      </c>
      <c r="C132" s="70" t="s">
        <v>368</v>
      </c>
      <c r="D132" s="3" t="s">
        <v>18</v>
      </c>
      <c r="E132" s="3">
        <v>4</v>
      </c>
      <c r="F132" s="3" t="s">
        <v>369</v>
      </c>
      <c r="G132" s="3"/>
      <c r="H132" s="71" t="s">
        <v>967</v>
      </c>
      <c r="I132" s="72">
        <v>2011</v>
      </c>
      <c r="J132" s="72">
        <v>9999</v>
      </c>
      <c r="K132" s="115"/>
      <c r="L132" s="115"/>
      <c r="M132" s="115"/>
      <c r="N132" s="115"/>
      <c r="O132" s="115"/>
      <c r="P132" s="115"/>
      <c r="Q132" s="115"/>
      <c r="R132" s="115"/>
      <c r="S132" s="115"/>
      <c r="T132" s="115"/>
      <c r="U132" s="115"/>
      <c r="V132" s="115"/>
      <c r="W132" s="116"/>
      <c r="X132" s="116"/>
      <c r="Y132" s="117"/>
    </row>
    <row r="133" spans="1:25" ht="21" customHeight="1">
      <c r="A133" s="69"/>
      <c r="B133" s="70"/>
      <c r="C133" s="70"/>
      <c r="D133" s="3"/>
      <c r="E133" s="3"/>
      <c r="F133" s="3"/>
      <c r="G133" s="3"/>
      <c r="H133" s="71" t="s">
        <v>968</v>
      </c>
      <c r="I133" s="72" t="e">
        <v>#N/A</v>
      </c>
      <c r="J133" s="72" t="e">
        <v>#N/A</v>
      </c>
      <c r="K133" s="115"/>
      <c r="L133" s="115"/>
      <c r="M133" s="115"/>
      <c r="N133" s="115"/>
      <c r="O133" s="115"/>
      <c r="P133" s="115"/>
      <c r="Q133" s="115"/>
      <c r="R133" s="115"/>
      <c r="S133" s="115"/>
      <c r="T133" s="115"/>
      <c r="U133" s="115"/>
      <c r="V133" s="115"/>
      <c r="W133" s="116"/>
      <c r="X133" s="116"/>
      <c r="Y133" s="117"/>
    </row>
    <row r="134" spans="1:25" ht="21" customHeight="1">
      <c r="A134" s="69"/>
      <c r="B134" s="70"/>
      <c r="C134" s="70"/>
      <c r="D134" s="3"/>
      <c r="E134" s="3"/>
      <c r="F134" s="3"/>
      <c r="G134" s="3"/>
      <c r="H134" s="71" t="s">
        <v>968</v>
      </c>
      <c r="I134" s="72" t="e">
        <v>#N/A</v>
      </c>
      <c r="J134" s="72" t="e">
        <v>#N/A</v>
      </c>
      <c r="K134" s="115"/>
      <c r="L134" s="115"/>
      <c r="M134" s="115"/>
      <c r="N134" s="115"/>
      <c r="O134" s="115"/>
      <c r="P134" s="115"/>
      <c r="Q134" s="115"/>
      <c r="R134" s="115"/>
      <c r="S134" s="115"/>
      <c r="T134" s="115"/>
      <c r="U134" s="115"/>
      <c r="V134" s="115"/>
      <c r="W134" s="116"/>
      <c r="X134" s="116"/>
      <c r="Y134" s="117"/>
    </row>
    <row r="135" spans="1:25" ht="21" customHeight="1">
      <c r="A135" s="69"/>
      <c r="B135" s="70"/>
      <c r="C135" s="70"/>
      <c r="D135" s="3"/>
      <c r="E135" s="3"/>
      <c r="F135" s="3"/>
      <c r="G135" s="3"/>
      <c r="H135" s="71" t="s">
        <v>968</v>
      </c>
      <c r="I135" s="72" t="e">
        <v>#N/A</v>
      </c>
      <c r="J135" s="72" t="e">
        <v>#N/A</v>
      </c>
      <c r="K135" s="115"/>
      <c r="L135" s="115"/>
      <c r="M135" s="115"/>
      <c r="N135" s="115"/>
      <c r="O135" s="115"/>
      <c r="P135" s="115"/>
      <c r="Q135" s="115"/>
      <c r="R135" s="115"/>
      <c r="S135" s="115"/>
      <c r="T135" s="115"/>
      <c r="U135" s="115"/>
      <c r="V135" s="115"/>
      <c r="W135" s="116"/>
      <c r="X135" s="116"/>
      <c r="Y135" s="117"/>
    </row>
    <row r="136" spans="1:25" ht="21" customHeight="1">
      <c r="A136" s="69"/>
      <c r="B136" s="70"/>
      <c r="C136" s="70"/>
      <c r="D136" s="3"/>
      <c r="E136" s="3"/>
      <c r="F136" s="3"/>
      <c r="G136" s="3"/>
      <c r="H136" s="71" t="s">
        <v>968</v>
      </c>
      <c r="I136" s="72" t="e">
        <v>#N/A</v>
      </c>
      <c r="J136" s="72" t="e">
        <v>#N/A</v>
      </c>
      <c r="K136" s="115"/>
      <c r="L136" s="115"/>
      <c r="M136" s="115"/>
      <c r="N136" s="115"/>
      <c r="O136" s="115"/>
      <c r="P136" s="115"/>
      <c r="Q136" s="115"/>
      <c r="R136" s="115"/>
      <c r="S136" s="115"/>
      <c r="T136" s="115"/>
      <c r="U136" s="115"/>
      <c r="V136" s="115"/>
      <c r="W136" s="116"/>
      <c r="X136" s="116"/>
      <c r="Y136" s="117"/>
    </row>
    <row r="137" spans="1:25" ht="21" customHeight="1">
      <c r="A137" s="69"/>
      <c r="B137" s="70"/>
      <c r="C137" s="70"/>
      <c r="D137" s="3"/>
      <c r="E137" s="3"/>
      <c r="F137" s="3"/>
      <c r="G137" s="3"/>
      <c r="H137" s="71" t="s">
        <v>968</v>
      </c>
      <c r="I137" s="72" t="e">
        <v>#N/A</v>
      </c>
      <c r="J137" s="72" t="e">
        <v>#N/A</v>
      </c>
      <c r="K137" s="115"/>
      <c r="L137" s="115"/>
      <c r="M137" s="115"/>
      <c r="N137" s="115"/>
      <c r="O137" s="115"/>
      <c r="P137" s="115"/>
      <c r="Q137" s="115"/>
      <c r="R137" s="115"/>
      <c r="S137" s="115"/>
      <c r="T137" s="115"/>
      <c r="U137" s="115"/>
      <c r="V137" s="115"/>
      <c r="W137" s="116"/>
      <c r="X137" s="116"/>
      <c r="Y137" s="117"/>
    </row>
    <row r="138" spans="1:25" ht="21" customHeight="1">
      <c r="A138" s="69"/>
      <c r="B138" s="70"/>
      <c r="C138" s="70"/>
      <c r="D138" s="3"/>
      <c r="E138" s="3"/>
      <c r="F138" s="3"/>
      <c r="G138" s="3"/>
      <c r="H138" s="71" t="s">
        <v>968</v>
      </c>
      <c r="I138" s="72" t="e">
        <v>#N/A</v>
      </c>
      <c r="J138" s="72" t="e">
        <v>#N/A</v>
      </c>
      <c r="K138" s="115"/>
      <c r="L138" s="115"/>
      <c r="M138" s="115"/>
      <c r="N138" s="115"/>
      <c r="O138" s="115"/>
      <c r="P138" s="115"/>
      <c r="Q138" s="115"/>
      <c r="R138" s="115"/>
      <c r="S138" s="115"/>
      <c r="T138" s="115"/>
      <c r="U138" s="115"/>
      <c r="V138" s="115"/>
      <c r="W138" s="116"/>
      <c r="X138" s="116"/>
      <c r="Y138" s="117"/>
    </row>
    <row r="139" spans="1:25" ht="21" customHeight="1">
      <c r="A139" s="69"/>
      <c r="B139" s="70"/>
      <c r="C139" s="70"/>
      <c r="D139" s="3"/>
      <c r="E139" s="3"/>
      <c r="F139" s="3"/>
      <c r="G139" s="3"/>
      <c r="H139" s="71" t="s">
        <v>968</v>
      </c>
      <c r="I139" s="72" t="e">
        <v>#N/A</v>
      </c>
      <c r="J139" s="72" t="e">
        <v>#N/A</v>
      </c>
      <c r="K139" s="115"/>
      <c r="L139" s="115"/>
      <c r="M139" s="115"/>
      <c r="N139" s="115"/>
      <c r="O139" s="115"/>
      <c r="P139" s="115"/>
      <c r="Q139" s="115"/>
      <c r="R139" s="115"/>
      <c r="S139" s="115"/>
      <c r="T139" s="115"/>
      <c r="U139" s="115"/>
      <c r="V139" s="115"/>
      <c r="W139" s="116"/>
      <c r="X139" s="116"/>
      <c r="Y139" s="117"/>
    </row>
    <row r="140" spans="1:25" ht="21" customHeight="1">
      <c r="A140" s="69"/>
      <c r="B140" s="70"/>
      <c r="C140" s="70"/>
      <c r="D140" s="3"/>
      <c r="E140" s="3"/>
      <c r="F140" s="3"/>
      <c r="G140" s="3"/>
      <c r="H140" s="71" t="s">
        <v>968</v>
      </c>
      <c r="I140" s="72" t="e">
        <v>#N/A</v>
      </c>
      <c r="J140" s="72" t="e">
        <v>#N/A</v>
      </c>
      <c r="K140" s="115"/>
      <c r="L140" s="115"/>
      <c r="M140" s="115"/>
      <c r="N140" s="115"/>
      <c r="O140" s="115"/>
      <c r="P140" s="115"/>
      <c r="Q140" s="115"/>
      <c r="R140" s="115"/>
      <c r="S140" s="115"/>
      <c r="T140" s="115"/>
      <c r="U140" s="115"/>
      <c r="V140" s="115"/>
      <c r="W140" s="116"/>
      <c r="X140" s="116"/>
      <c r="Y140" s="117"/>
    </row>
    <row r="141" spans="1:25" ht="21" customHeight="1">
      <c r="A141" s="69"/>
      <c r="B141" s="70"/>
      <c r="C141" s="70"/>
      <c r="D141" s="3"/>
      <c r="E141" s="3"/>
      <c r="F141" s="3"/>
      <c r="G141" s="3"/>
      <c r="H141" s="71" t="s">
        <v>968</v>
      </c>
      <c r="I141" s="72" t="e">
        <v>#N/A</v>
      </c>
      <c r="J141" s="72" t="e">
        <v>#N/A</v>
      </c>
      <c r="K141" s="115"/>
      <c r="L141" s="115"/>
      <c r="M141" s="115"/>
      <c r="N141" s="115"/>
      <c r="O141" s="115"/>
      <c r="P141" s="115"/>
      <c r="Q141" s="115"/>
      <c r="R141" s="115"/>
      <c r="S141" s="115"/>
      <c r="T141" s="115"/>
      <c r="U141" s="115"/>
      <c r="V141" s="115"/>
      <c r="W141" s="116"/>
      <c r="X141" s="116"/>
      <c r="Y141" s="117"/>
    </row>
    <row r="142" spans="1:25" ht="21" customHeight="1">
      <c r="A142" s="69"/>
      <c r="B142" s="70"/>
      <c r="C142" s="70"/>
      <c r="D142" s="3"/>
      <c r="E142" s="3"/>
      <c r="F142" s="3"/>
      <c r="G142" s="3"/>
      <c r="H142" s="71" t="s">
        <v>968</v>
      </c>
      <c r="I142" s="72" t="e">
        <v>#N/A</v>
      </c>
      <c r="J142" s="72" t="e">
        <v>#N/A</v>
      </c>
      <c r="K142" s="115"/>
      <c r="L142" s="115"/>
      <c r="M142" s="115"/>
      <c r="N142" s="115"/>
      <c r="O142" s="115"/>
      <c r="P142" s="115"/>
      <c r="Q142" s="115"/>
      <c r="R142" s="115"/>
      <c r="S142" s="115"/>
      <c r="T142" s="115"/>
      <c r="U142" s="115"/>
      <c r="V142" s="115"/>
      <c r="W142" s="116"/>
      <c r="X142" s="116"/>
      <c r="Y142" s="117"/>
    </row>
    <row r="143" spans="1:25" ht="21" customHeight="1">
      <c r="A143" s="69"/>
      <c r="B143" s="70"/>
      <c r="C143" s="70"/>
      <c r="D143" s="3"/>
      <c r="E143" s="3"/>
      <c r="F143" s="3"/>
      <c r="G143" s="3"/>
      <c r="H143" s="71" t="s">
        <v>968</v>
      </c>
      <c r="I143" s="72" t="e">
        <v>#N/A</v>
      </c>
      <c r="J143" s="72" t="e">
        <v>#N/A</v>
      </c>
      <c r="K143" s="115"/>
      <c r="L143" s="115"/>
      <c r="M143" s="115"/>
      <c r="N143" s="115"/>
      <c r="O143" s="115"/>
      <c r="P143" s="115"/>
      <c r="Q143" s="115"/>
      <c r="R143" s="115"/>
      <c r="S143" s="115"/>
      <c r="T143" s="115"/>
      <c r="U143" s="115"/>
      <c r="V143" s="115"/>
      <c r="W143" s="116"/>
      <c r="X143" s="116"/>
      <c r="Y143" s="117"/>
    </row>
    <row r="144" spans="1:25" ht="21" customHeight="1">
      <c r="A144" s="69"/>
      <c r="B144" s="70"/>
      <c r="C144" s="70"/>
      <c r="D144" s="3"/>
      <c r="E144" s="3"/>
      <c r="F144" s="3"/>
      <c r="G144" s="3"/>
      <c r="H144" s="71" t="s">
        <v>968</v>
      </c>
      <c r="I144" s="72" t="e">
        <v>#N/A</v>
      </c>
      <c r="J144" s="72" t="e">
        <v>#N/A</v>
      </c>
      <c r="K144" s="115"/>
      <c r="L144" s="115"/>
      <c r="M144" s="115"/>
      <c r="N144" s="115"/>
      <c r="O144" s="115"/>
      <c r="P144" s="115"/>
      <c r="Q144" s="115"/>
      <c r="R144" s="115"/>
      <c r="S144" s="115"/>
      <c r="T144" s="115"/>
      <c r="U144" s="115"/>
      <c r="V144" s="115"/>
      <c r="W144" s="116"/>
      <c r="X144" s="116"/>
      <c r="Y144" s="117"/>
    </row>
    <row r="145" spans="1:25" ht="21" customHeight="1">
      <c r="A145" s="69"/>
      <c r="B145" s="70"/>
      <c r="C145" s="70"/>
      <c r="D145" s="3"/>
      <c r="E145" s="3"/>
      <c r="F145" s="3"/>
      <c r="G145" s="3"/>
      <c r="H145" s="71" t="s">
        <v>968</v>
      </c>
      <c r="I145" s="72" t="e">
        <v>#N/A</v>
      </c>
      <c r="J145" s="72" t="e">
        <v>#N/A</v>
      </c>
      <c r="K145" s="115"/>
      <c r="L145" s="115"/>
      <c r="M145" s="115"/>
      <c r="N145" s="115"/>
      <c r="O145" s="115"/>
      <c r="P145" s="115"/>
      <c r="Q145" s="115"/>
      <c r="R145" s="115"/>
      <c r="S145" s="115"/>
      <c r="T145" s="115"/>
      <c r="U145" s="115"/>
      <c r="V145" s="115"/>
      <c r="W145" s="116"/>
      <c r="X145" s="116"/>
      <c r="Y145" s="117"/>
    </row>
    <row r="146" spans="1:25" ht="21" customHeight="1">
      <c r="A146" s="69"/>
      <c r="B146" s="70"/>
      <c r="C146" s="70"/>
      <c r="D146" s="3"/>
      <c r="E146" s="3"/>
      <c r="F146" s="3"/>
      <c r="G146" s="3"/>
      <c r="H146" s="71" t="s">
        <v>968</v>
      </c>
      <c r="I146" s="72" t="e">
        <v>#N/A</v>
      </c>
      <c r="J146" s="72" t="e">
        <v>#N/A</v>
      </c>
      <c r="K146" s="115"/>
      <c r="L146" s="115"/>
      <c r="M146" s="115"/>
      <c r="N146" s="115"/>
      <c r="O146" s="115"/>
      <c r="P146" s="115"/>
      <c r="Q146" s="115"/>
      <c r="R146" s="115"/>
      <c r="S146" s="115"/>
      <c r="T146" s="115"/>
      <c r="U146" s="115"/>
      <c r="V146" s="115"/>
      <c r="W146" s="116"/>
      <c r="X146" s="116"/>
      <c r="Y146" s="117"/>
    </row>
    <row r="147" spans="1:25" ht="21" customHeight="1">
      <c r="A147" s="69"/>
      <c r="B147" s="70"/>
      <c r="C147" s="70"/>
      <c r="D147" s="3"/>
      <c r="E147" s="3"/>
      <c r="F147" s="3"/>
      <c r="G147" s="3"/>
      <c r="H147" s="71" t="s">
        <v>968</v>
      </c>
      <c r="I147" s="72" t="e">
        <v>#N/A</v>
      </c>
      <c r="J147" s="72" t="e">
        <v>#N/A</v>
      </c>
      <c r="K147" s="115"/>
      <c r="L147" s="115"/>
      <c r="M147" s="115"/>
      <c r="N147" s="115"/>
      <c r="O147" s="115"/>
      <c r="P147" s="115"/>
      <c r="Q147" s="115"/>
      <c r="R147" s="115"/>
      <c r="S147" s="115"/>
      <c r="T147" s="115"/>
      <c r="U147" s="115"/>
      <c r="V147" s="115"/>
      <c r="W147" s="116"/>
      <c r="X147" s="116"/>
      <c r="Y147" s="117"/>
    </row>
    <row r="148" spans="1:25" ht="21" customHeight="1">
      <c r="A148" s="69"/>
      <c r="B148" s="70"/>
      <c r="C148" s="70"/>
      <c r="D148" s="3"/>
      <c r="E148" s="3"/>
      <c r="F148" s="3"/>
      <c r="G148" s="3"/>
      <c r="H148" s="71" t="s">
        <v>968</v>
      </c>
      <c r="I148" s="72" t="e">
        <v>#N/A</v>
      </c>
      <c r="J148" s="72" t="e">
        <v>#N/A</v>
      </c>
      <c r="K148" s="115"/>
      <c r="L148" s="115"/>
      <c r="M148" s="115"/>
      <c r="N148" s="115"/>
      <c r="O148" s="115"/>
      <c r="P148" s="115"/>
      <c r="Q148" s="115"/>
      <c r="R148" s="115"/>
      <c r="S148" s="115"/>
      <c r="T148" s="115"/>
      <c r="U148" s="115"/>
      <c r="V148" s="115"/>
      <c r="W148" s="116"/>
      <c r="X148" s="116"/>
      <c r="Y148" s="117"/>
    </row>
    <row r="149" spans="1:25" ht="21" customHeight="1">
      <c r="A149" s="69"/>
      <c r="B149" s="70"/>
      <c r="C149" s="70"/>
      <c r="D149" s="3"/>
      <c r="E149" s="3"/>
      <c r="F149" s="3"/>
      <c r="G149" s="3"/>
      <c r="H149" s="71" t="s">
        <v>968</v>
      </c>
      <c r="I149" s="72" t="e">
        <v>#N/A</v>
      </c>
      <c r="J149" s="72" t="e">
        <v>#N/A</v>
      </c>
      <c r="K149" s="115"/>
      <c r="L149" s="115"/>
      <c r="M149" s="115"/>
      <c r="N149" s="115"/>
      <c r="O149" s="115"/>
      <c r="P149" s="115"/>
      <c r="Q149" s="115"/>
      <c r="R149" s="115"/>
      <c r="S149" s="115"/>
      <c r="T149" s="115"/>
      <c r="U149" s="115"/>
      <c r="V149" s="115"/>
      <c r="W149" s="116"/>
      <c r="X149" s="116"/>
      <c r="Y149" s="117"/>
    </row>
    <row r="150" spans="1:25" ht="21" customHeight="1">
      <c r="A150" s="69"/>
      <c r="B150" s="70"/>
      <c r="C150" s="70"/>
      <c r="D150" s="3"/>
      <c r="E150" s="3"/>
      <c r="F150" s="3"/>
      <c r="G150" s="3"/>
      <c r="H150" s="71" t="s">
        <v>968</v>
      </c>
      <c r="I150" s="72" t="e">
        <v>#N/A</v>
      </c>
      <c r="J150" s="72" t="e">
        <v>#N/A</v>
      </c>
      <c r="K150" s="115"/>
      <c r="L150" s="115"/>
      <c r="M150" s="115"/>
      <c r="N150" s="115"/>
      <c r="O150" s="115"/>
      <c r="P150" s="115"/>
      <c r="Q150" s="115"/>
      <c r="R150" s="115"/>
      <c r="S150" s="115"/>
      <c r="T150" s="115"/>
      <c r="U150" s="115"/>
      <c r="V150" s="115"/>
      <c r="W150" s="116"/>
      <c r="X150" s="116"/>
      <c r="Y150" s="117"/>
    </row>
    <row r="151" spans="1:25" ht="21" customHeight="1">
      <c r="A151" s="69"/>
      <c r="B151" s="70"/>
      <c r="C151" s="70"/>
      <c r="D151" s="3"/>
      <c r="E151" s="3"/>
      <c r="F151" s="3"/>
      <c r="G151" s="3"/>
      <c r="H151" s="71" t="s">
        <v>968</v>
      </c>
      <c r="I151" s="72" t="e">
        <v>#N/A</v>
      </c>
      <c r="J151" s="72" t="e">
        <v>#N/A</v>
      </c>
      <c r="K151" s="115"/>
      <c r="L151" s="115"/>
      <c r="M151" s="115"/>
      <c r="N151" s="115"/>
      <c r="O151" s="115"/>
      <c r="P151" s="115"/>
      <c r="Q151" s="115"/>
      <c r="R151" s="115"/>
      <c r="S151" s="115"/>
      <c r="T151" s="115"/>
      <c r="U151" s="115"/>
      <c r="V151" s="115"/>
      <c r="W151" s="116"/>
      <c r="X151" s="116"/>
      <c r="Y151" s="117"/>
    </row>
    <row r="152" spans="1:25" ht="21" customHeight="1">
      <c r="A152" s="69"/>
      <c r="B152" s="70"/>
      <c r="C152" s="70"/>
      <c r="D152" s="3"/>
      <c r="E152" s="3"/>
      <c r="F152" s="3"/>
      <c r="G152" s="3"/>
      <c r="H152" s="71" t="s">
        <v>968</v>
      </c>
      <c r="I152" s="72" t="e">
        <v>#N/A</v>
      </c>
      <c r="J152" s="72" t="e">
        <v>#N/A</v>
      </c>
      <c r="K152" s="115"/>
      <c r="L152" s="115"/>
      <c r="M152" s="115"/>
      <c r="N152" s="115"/>
      <c r="O152" s="115"/>
      <c r="P152" s="115"/>
      <c r="Q152" s="115"/>
      <c r="R152" s="115"/>
      <c r="S152" s="115"/>
      <c r="T152" s="115"/>
      <c r="U152" s="115"/>
      <c r="V152" s="115"/>
      <c r="W152" s="116"/>
      <c r="X152" s="116"/>
      <c r="Y152" s="117"/>
    </row>
    <row r="153" spans="1:25" ht="21" customHeight="1">
      <c r="A153" s="69"/>
      <c r="B153" s="70"/>
      <c r="C153" s="70"/>
      <c r="D153" s="3"/>
      <c r="E153" s="3"/>
      <c r="F153" s="3"/>
      <c r="G153" s="3"/>
      <c r="H153" s="71" t="s">
        <v>968</v>
      </c>
      <c r="I153" s="72" t="e">
        <v>#N/A</v>
      </c>
      <c r="J153" s="72" t="e">
        <v>#N/A</v>
      </c>
      <c r="K153" s="115"/>
      <c r="L153" s="115"/>
      <c r="M153" s="115"/>
      <c r="N153" s="115"/>
      <c r="O153" s="115"/>
      <c r="P153" s="115"/>
      <c r="Q153" s="115"/>
      <c r="R153" s="115"/>
      <c r="S153" s="115"/>
      <c r="T153" s="115"/>
      <c r="U153" s="115"/>
      <c r="V153" s="115"/>
      <c r="W153" s="116"/>
      <c r="X153" s="116"/>
      <c r="Y153" s="117"/>
    </row>
    <row r="154" spans="1:25" ht="21" customHeight="1">
      <c r="A154" s="69"/>
      <c r="B154" s="70"/>
      <c r="C154" s="70"/>
      <c r="D154" s="3"/>
      <c r="E154" s="3"/>
      <c r="F154" s="3"/>
      <c r="G154" s="3"/>
      <c r="H154" s="71" t="s">
        <v>968</v>
      </c>
      <c r="I154" s="72" t="e">
        <v>#N/A</v>
      </c>
      <c r="J154" s="72" t="e">
        <v>#N/A</v>
      </c>
      <c r="K154" s="115"/>
      <c r="L154" s="115"/>
      <c r="M154" s="115"/>
      <c r="N154" s="115"/>
      <c r="O154" s="115"/>
      <c r="P154" s="115"/>
      <c r="Q154" s="115"/>
      <c r="R154" s="115"/>
      <c r="S154" s="115"/>
      <c r="T154" s="115"/>
      <c r="U154" s="115"/>
      <c r="V154" s="115"/>
      <c r="W154" s="116"/>
      <c r="X154" s="116"/>
      <c r="Y154" s="117"/>
    </row>
    <row r="155" spans="1:25" ht="21" customHeight="1">
      <c r="A155" s="69"/>
      <c r="B155" s="70"/>
      <c r="C155" s="70"/>
      <c r="D155" s="3"/>
      <c r="E155" s="3"/>
      <c r="F155" s="3"/>
      <c r="G155" s="3"/>
      <c r="H155" s="71" t="s">
        <v>968</v>
      </c>
      <c r="I155" s="72" t="e">
        <v>#N/A</v>
      </c>
      <c r="J155" s="72" t="e">
        <v>#N/A</v>
      </c>
      <c r="K155" s="115"/>
      <c r="L155" s="115"/>
      <c r="M155" s="115"/>
      <c r="N155" s="115"/>
      <c r="O155" s="115"/>
      <c r="P155" s="115"/>
      <c r="Q155" s="115"/>
      <c r="R155" s="115"/>
      <c r="S155" s="115"/>
      <c r="T155" s="115"/>
      <c r="U155" s="115"/>
      <c r="V155" s="115"/>
      <c r="W155" s="116"/>
      <c r="X155" s="116"/>
      <c r="Y155" s="117"/>
    </row>
    <row r="156" spans="1:25" ht="21" customHeight="1">
      <c r="A156" s="69"/>
      <c r="B156" s="70"/>
      <c r="C156" s="70"/>
      <c r="D156" s="3"/>
      <c r="E156" s="3"/>
      <c r="F156" s="3"/>
      <c r="G156" s="3"/>
      <c r="H156" s="71" t="s">
        <v>968</v>
      </c>
      <c r="I156" s="72" t="e">
        <v>#N/A</v>
      </c>
      <c r="J156" s="72" t="e">
        <v>#N/A</v>
      </c>
      <c r="K156" s="115"/>
      <c r="L156" s="115"/>
      <c r="M156" s="115"/>
      <c r="N156" s="115"/>
      <c r="O156" s="115"/>
      <c r="P156" s="115"/>
      <c r="Q156" s="115"/>
      <c r="R156" s="115"/>
      <c r="S156" s="115"/>
      <c r="T156" s="115"/>
      <c r="U156" s="115"/>
      <c r="V156" s="115"/>
      <c r="W156" s="116"/>
      <c r="X156" s="116"/>
      <c r="Y156" s="117"/>
    </row>
    <row r="157" spans="1:25" ht="21" customHeight="1">
      <c r="A157" s="69"/>
      <c r="B157" s="70"/>
      <c r="C157" s="70"/>
      <c r="D157" s="3"/>
      <c r="E157" s="3"/>
      <c r="F157" s="3"/>
      <c r="G157" s="3"/>
      <c r="H157" s="71" t="s">
        <v>968</v>
      </c>
      <c r="I157" s="72" t="e">
        <v>#N/A</v>
      </c>
      <c r="J157" s="72" t="e">
        <v>#N/A</v>
      </c>
      <c r="K157" s="115"/>
      <c r="L157" s="115"/>
      <c r="M157" s="115"/>
      <c r="N157" s="115"/>
      <c r="O157" s="115"/>
      <c r="P157" s="115"/>
      <c r="Q157" s="115"/>
      <c r="R157" s="115"/>
      <c r="S157" s="115"/>
      <c r="T157" s="115"/>
      <c r="U157" s="115"/>
      <c r="V157" s="115"/>
      <c r="W157" s="116"/>
      <c r="X157" s="116"/>
      <c r="Y157" s="117"/>
    </row>
    <row r="158" spans="1:25" ht="21" customHeight="1">
      <c r="A158" s="69"/>
      <c r="B158" s="70"/>
      <c r="C158" s="70"/>
      <c r="D158" s="3"/>
      <c r="E158" s="3"/>
      <c r="F158" s="3"/>
      <c r="G158" s="3"/>
      <c r="H158" s="71" t="s">
        <v>968</v>
      </c>
      <c r="I158" s="72" t="e">
        <v>#N/A</v>
      </c>
      <c r="J158" s="72" t="e">
        <v>#N/A</v>
      </c>
      <c r="K158" s="115"/>
      <c r="L158" s="115"/>
      <c r="M158" s="115"/>
      <c r="N158" s="115"/>
      <c r="O158" s="115"/>
      <c r="P158" s="115"/>
      <c r="Q158" s="115"/>
      <c r="R158" s="115"/>
      <c r="S158" s="115"/>
      <c r="T158" s="115"/>
      <c r="U158" s="115"/>
      <c r="V158" s="115"/>
      <c r="W158" s="116"/>
      <c r="X158" s="116"/>
      <c r="Y158" s="117"/>
    </row>
    <row r="159" spans="1:25" ht="21" customHeight="1">
      <c r="A159" s="69"/>
      <c r="B159" s="70"/>
      <c r="C159" s="70"/>
      <c r="D159" s="3"/>
      <c r="E159" s="3"/>
      <c r="F159" s="3"/>
      <c r="G159" s="3"/>
      <c r="H159" s="71" t="s">
        <v>968</v>
      </c>
      <c r="I159" s="72" t="e">
        <v>#N/A</v>
      </c>
      <c r="J159" s="72" t="e">
        <v>#N/A</v>
      </c>
      <c r="K159" s="115"/>
      <c r="L159" s="115"/>
      <c r="M159" s="115"/>
      <c r="N159" s="115"/>
      <c r="O159" s="115"/>
      <c r="P159" s="115"/>
      <c r="Q159" s="115"/>
      <c r="R159" s="115"/>
      <c r="S159" s="115"/>
      <c r="T159" s="115"/>
      <c r="U159" s="115"/>
      <c r="V159" s="115"/>
      <c r="W159" s="116"/>
      <c r="X159" s="116"/>
      <c r="Y159" s="117"/>
    </row>
    <row r="160" spans="1:25" ht="21" customHeight="1">
      <c r="A160" s="69"/>
      <c r="B160" s="70"/>
      <c r="C160" s="70"/>
      <c r="D160" s="3"/>
      <c r="E160" s="3"/>
      <c r="F160" s="3"/>
      <c r="G160" s="3"/>
      <c r="H160" s="71" t="s">
        <v>968</v>
      </c>
      <c r="I160" s="72" t="e">
        <v>#N/A</v>
      </c>
      <c r="J160" s="72" t="e">
        <v>#N/A</v>
      </c>
      <c r="K160" s="115"/>
      <c r="L160" s="115"/>
      <c r="M160" s="115"/>
      <c r="N160" s="115"/>
      <c r="O160" s="115"/>
      <c r="P160" s="115"/>
      <c r="Q160" s="115"/>
      <c r="R160" s="115"/>
      <c r="S160" s="115"/>
      <c r="T160" s="115"/>
      <c r="U160" s="115"/>
      <c r="V160" s="115"/>
      <c r="W160" s="116"/>
      <c r="X160" s="116"/>
      <c r="Y160" s="117"/>
    </row>
    <row r="161" spans="1:25" ht="21" customHeight="1">
      <c r="A161" s="69"/>
      <c r="B161" s="70"/>
      <c r="C161" s="70"/>
      <c r="D161" s="3"/>
      <c r="E161" s="3"/>
      <c r="F161" s="3"/>
      <c r="G161" s="3"/>
      <c r="H161" s="71" t="s">
        <v>968</v>
      </c>
      <c r="I161" s="72" t="e">
        <v>#N/A</v>
      </c>
      <c r="J161" s="72" t="e">
        <v>#N/A</v>
      </c>
      <c r="K161" s="115"/>
      <c r="L161" s="115"/>
      <c r="M161" s="115"/>
      <c r="N161" s="115"/>
      <c r="O161" s="115"/>
      <c r="P161" s="115"/>
      <c r="Q161" s="115"/>
      <c r="R161" s="115"/>
      <c r="S161" s="115"/>
      <c r="T161" s="115"/>
      <c r="U161" s="115"/>
      <c r="V161" s="115"/>
      <c r="W161" s="116"/>
      <c r="X161" s="116"/>
      <c r="Y161" s="117"/>
    </row>
    <row r="162" spans="1:25" ht="21" customHeight="1">
      <c r="A162" s="69"/>
      <c r="B162" s="70"/>
      <c r="C162" s="70"/>
      <c r="D162" s="3"/>
      <c r="E162" s="3"/>
      <c r="F162" s="3"/>
      <c r="G162" s="3"/>
      <c r="H162" s="71" t="s">
        <v>968</v>
      </c>
      <c r="I162" s="72" t="e">
        <v>#N/A</v>
      </c>
      <c r="J162" s="72" t="e">
        <v>#N/A</v>
      </c>
      <c r="K162" s="115"/>
      <c r="L162" s="115"/>
      <c r="M162" s="115"/>
      <c r="N162" s="115"/>
      <c r="O162" s="115"/>
      <c r="P162" s="115"/>
      <c r="Q162" s="115"/>
      <c r="R162" s="115"/>
      <c r="S162" s="115"/>
      <c r="T162" s="115"/>
      <c r="U162" s="115"/>
      <c r="V162" s="115"/>
      <c r="W162" s="116"/>
      <c r="X162" s="116"/>
      <c r="Y162" s="117"/>
    </row>
    <row r="163" spans="1:25" ht="21" customHeight="1">
      <c r="A163" s="69"/>
      <c r="B163" s="70"/>
      <c r="C163" s="70"/>
      <c r="D163" s="3"/>
      <c r="E163" s="3"/>
      <c r="F163" s="3"/>
      <c r="G163" s="3"/>
      <c r="H163" s="71" t="s">
        <v>968</v>
      </c>
      <c r="I163" s="72" t="e">
        <v>#N/A</v>
      </c>
      <c r="J163" s="72" t="e">
        <v>#N/A</v>
      </c>
      <c r="K163" s="115"/>
      <c r="L163" s="115"/>
      <c r="M163" s="115"/>
      <c r="N163" s="115"/>
      <c r="O163" s="115"/>
      <c r="P163" s="115"/>
      <c r="Q163" s="115"/>
      <c r="R163" s="115"/>
      <c r="S163" s="115"/>
      <c r="T163" s="115"/>
      <c r="U163" s="115"/>
      <c r="V163" s="115"/>
      <c r="W163" s="116"/>
      <c r="X163" s="116"/>
      <c r="Y163" s="117"/>
    </row>
    <row r="164" spans="1:25" ht="21" customHeight="1">
      <c r="A164" s="69"/>
      <c r="B164" s="70"/>
      <c r="C164" s="70"/>
      <c r="D164" s="3"/>
      <c r="E164" s="3"/>
      <c r="F164" s="3"/>
      <c r="G164" s="3"/>
      <c r="H164" s="71" t="s">
        <v>968</v>
      </c>
      <c r="I164" s="72" t="e">
        <v>#N/A</v>
      </c>
      <c r="J164" s="72" t="e">
        <v>#N/A</v>
      </c>
      <c r="K164" s="115"/>
      <c r="L164" s="115"/>
      <c r="M164" s="115"/>
      <c r="N164" s="115"/>
      <c r="O164" s="115"/>
      <c r="P164" s="115"/>
      <c r="Q164" s="115"/>
      <c r="R164" s="115"/>
      <c r="S164" s="115"/>
      <c r="T164" s="115"/>
      <c r="U164" s="115"/>
      <c r="V164" s="115"/>
      <c r="W164" s="116"/>
      <c r="X164" s="116"/>
      <c r="Y164" s="117"/>
    </row>
    <row r="165" spans="1:25" ht="21" customHeight="1">
      <c r="A165" s="69"/>
      <c r="B165" s="70"/>
      <c r="C165" s="70"/>
      <c r="D165" s="3"/>
      <c r="E165" s="3"/>
      <c r="F165" s="3"/>
      <c r="G165" s="3"/>
      <c r="H165" s="71" t="s">
        <v>968</v>
      </c>
      <c r="I165" s="72" t="e">
        <v>#N/A</v>
      </c>
      <c r="J165" s="72" t="e">
        <v>#N/A</v>
      </c>
      <c r="K165" s="115"/>
      <c r="L165" s="115"/>
      <c r="M165" s="115"/>
      <c r="N165" s="115"/>
      <c r="O165" s="115"/>
      <c r="P165" s="115"/>
      <c r="Q165" s="115"/>
      <c r="R165" s="115"/>
      <c r="S165" s="115"/>
      <c r="T165" s="115"/>
      <c r="U165" s="115"/>
      <c r="V165" s="115"/>
      <c r="W165" s="116"/>
      <c r="X165" s="116"/>
      <c r="Y165" s="117"/>
    </row>
    <row r="166" spans="1:25" ht="21" customHeight="1">
      <c r="A166" s="69"/>
      <c r="B166" s="70"/>
      <c r="C166" s="70"/>
      <c r="D166" s="3"/>
      <c r="E166" s="3"/>
      <c r="F166" s="3"/>
      <c r="G166" s="3"/>
      <c r="H166" s="71" t="s">
        <v>968</v>
      </c>
      <c r="I166" s="72" t="e">
        <v>#N/A</v>
      </c>
      <c r="J166" s="72" t="e">
        <v>#N/A</v>
      </c>
      <c r="K166" s="115"/>
      <c r="L166" s="115"/>
      <c r="M166" s="115"/>
      <c r="N166" s="115"/>
      <c r="O166" s="115"/>
      <c r="P166" s="115"/>
      <c r="Q166" s="115"/>
      <c r="R166" s="115"/>
      <c r="S166" s="115"/>
      <c r="T166" s="115"/>
      <c r="U166" s="115"/>
      <c r="V166" s="115"/>
      <c r="W166" s="116"/>
      <c r="X166" s="116"/>
      <c r="Y166" s="117"/>
    </row>
    <row r="167" spans="1:25" ht="21" customHeight="1">
      <c r="A167" s="69"/>
      <c r="B167" s="70"/>
      <c r="C167" s="70"/>
      <c r="D167" s="3"/>
      <c r="E167" s="3"/>
      <c r="F167" s="3"/>
      <c r="G167" s="3"/>
      <c r="H167" s="71" t="s">
        <v>968</v>
      </c>
      <c r="I167" s="72" t="e">
        <v>#N/A</v>
      </c>
      <c r="J167" s="72" t="e">
        <v>#N/A</v>
      </c>
      <c r="K167" s="115"/>
      <c r="L167" s="115"/>
      <c r="M167" s="115"/>
      <c r="N167" s="115"/>
      <c r="O167" s="115"/>
      <c r="P167" s="115"/>
      <c r="Q167" s="115"/>
      <c r="R167" s="115"/>
      <c r="S167" s="115"/>
      <c r="T167" s="115"/>
      <c r="U167" s="115"/>
      <c r="V167" s="115"/>
      <c r="W167" s="116"/>
      <c r="X167" s="116"/>
      <c r="Y167" s="117"/>
    </row>
    <row r="168" spans="1:25" ht="21" customHeight="1">
      <c r="A168" s="69"/>
      <c r="B168" s="70"/>
      <c r="C168" s="70"/>
      <c r="D168" s="3"/>
      <c r="E168" s="3"/>
      <c r="F168" s="3"/>
      <c r="G168" s="3"/>
      <c r="H168" s="71" t="s">
        <v>968</v>
      </c>
      <c r="I168" s="72" t="e">
        <v>#N/A</v>
      </c>
      <c r="J168" s="72" t="e">
        <v>#N/A</v>
      </c>
      <c r="K168" s="115"/>
      <c r="L168" s="115"/>
      <c r="M168" s="115"/>
      <c r="N168" s="115"/>
      <c r="O168" s="115"/>
      <c r="P168" s="115"/>
      <c r="Q168" s="115"/>
      <c r="R168" s="115"/>
      <c r="S168" s="115"/>
      <c r="T168" s="115"/>
      <c r="U168" s="115"/>
      <c r="V168" s="115"/>
      <c r="W168" s="116"/>
      <c r="X168" s="116"/>
      <c r="Y168" s="117"/>
    </row>
    <row r="169" spans="1:25" ht="21" customHeight="1">
      <c r="A169" s="69"/>
      <c r="B169" s="70"/>
      <c r="C169" s="70"/>
      <c r="D169" s="3"/>
      <c r="E169" s="3"/>
      <c r="F169" s="3"/>
      <c r="G169" s="3"/>
      <c r="H169" s="71" t="s">
        <v>968</v>
      </c>
      <c r="I169" s="72" t="e">
        <v>#N/A</v>
      </c>
      <c r="J169" s="72" t="e">
        <v>#N/A</v>
      </c>
      <c r="K169" s="115"/>
      <c r="L169" s="115"/>
      <c r="M169" s="115"/>
      <c r="N169" s="115"/>
      <c r="O169" s="115"/>
      <c r="P169" s="115"/>
      <c r="Q169" s="115"/>
      <c r="R169" s="115"/>
      <c r="S169" s="115"/>
      <c r="T169" s="115"/>
      <c r="U169" s="115"/>
      <c r="V169" s="115"/>
      <c r="W169" s="116"/>
      <c r="X169" s="116"/>
      <c r="Y169" s="117"/>
    </row>
    <row r="170" spans="1:25" ht="21" customHeight="1">
      <c r="A170" s="69"/>
      <c r="B170" s="70"/>
      <c r="C170" s="70"/>
      <c r="D170" s="3"/>
      <c r="E170" s="3"/>
      <c r="F170" s="3"/>
      <c r="G170" s="3"/>
      <c r="H170" s="71" t="s">
        <v>968</v>
      </c>
      <c r="I170" s="72" t="e">
        <v>#N/A</v>
      </c>
      <c r="J170" s="72" t="e">
        <v>#N/A</v>
      </c>
      <c r="K170" s="115"/>
      <c r="L170" s="115"/>
      <c r="M170" s="115"/>
      <c r="N170" s="115"/>
      <c r="O170" s="115"/>
      <c r="P170" s="115"/>
      <c r="Q170" s="115"/>
      <c r="R170" s="115"/>
      <c r="S170" s="115"/>
      <c r="T170" s="115"/>
      <c r="U170" s="115"/>
      <c r="V170" s="115"/>
      <c r="W170" s="116"/>
      <c r="X170" s="116"/>
      <c r="Y170" s="117"/>
    </row>
    <row r="171" spans="1:25" ht="21" customHeight="1">
      <c r="A171" s="69"/>
      <c r="B171" s="70"/>
      <c r="C171" s="70"/>
      <c r="D171" s="3"/>
      <c r="E171" s="3"/>
      <c r="F171" s="3"/>
      <c r="G171" s="3"/>
      <c r="H171" s="71" t="s">
        <v>968</v>
      </c>
      <c r="I171" s="72" t="e">
        <v>#N/A</v>
      </c>
      <c r="J171" s="72" t="e">
        <v>#N/A</v>
      </c>
      <c r="K171" s="115"/>
      <c r="L171" s="115"/>
      <c r="M171" s="115"/>
      <c r="N171" s="115"/>
      <c r="O171" s="115"/>
      <c r="P171" s="115"/>
      <c r="Q171" s="115"/>
      <c r="R171" s="115"/>
      <c r="S171" s="115"/>
      <c r="T171" s="115"/>
      <c r="U171" s="115"/>
      <c r="V171" s="115"/>
      <c r="W171" s="116"/>
      <c r="X171" s="116"/>
      <c r="Y171" s="117"/>
    </row>
    <row r="172" spans="1:25" ht="21" customHeight="1">
      <c r="A172" s="69"/>
      <c r="B172" s="70"/>
      <c r="C172" s="70"/>
      <c r="D172" s="3"/>
      <c r="E172" s="3"/>
      <c r="F172" s="3"/>
      <c r="G172" s="3"/>
      <c r="H172" s="71" t="s">
        <v>968</v>
      </c>
      <c r="I172" s="72" t="e">
        <v>#N/A</v>
      </c>
      <c r="J172" s="72" t="e">
        <v>#N/A</v>
      </c>
      <c r="K172" s="115"/>
      <c r="L172" s="115"/>
      <c r="M172" s="115"/>
      <c r="N172" s="115"/>
      <c r="O172" s="115"/>
      <c r="P172" s="115"/>
      <c r="Q172" s="115"/>
      <c r="R172" s="115"/>
      <c r="S172" s="115"/>
      <c r="T172" s="115"/>
      <c r="U172" s="115"/>
      <c r="V172" s="115"/>
      <c r="W172" s="116"/>
      <c r="X172" s="116"/>
      <c r="Y172" s="117"/>
    </row>
    <row r="173" spans="1:25" ht="21" customHeight="1">
      <c r="A173" s="69"/>
      <c r="B173" s="70"/>
      <c r="C173" s="70"/>
      <c r="D173" s="3"/>
      <c r="E173" s="3"/>
      <c r="F173" s="3"/>
      <c r="G173" s="3"/>
      <c r="H173" s="71" t="s">
        <v>968</v>
      </c>
      <c r="I173" s="72" t="e">
        <v>#N/A</v>
      </c>
      <c r="J173" s="72" t="e">
        <v>#N/A</v>
      </c>
      <c r="K173" s="115"/>
      <c r="L173" s="115"/>
      <c r="M173" s="115"/>
      <c r="N173" s="115"/>
      <c r="O173" s="115"/>
      <c r="P173" s="115"/>
      <c r="Q173" s="115"/>
      <c r="R173" s="115"/>
      <c r="S173" s="115"/>
      <c r="T173" s="115"/>
      <c r="U173" s="115"/>
      <c r="V173" s="115"/>
      <c r="W173" s="116"/>
      <c r="X173" s="116"/>
      <c r="Y173" s="117"/>
    </row>
    <row r="174" spans="1:25" ht="21" customHeight="1">
      <c r="A174" s="69"/>
      <c r="B174" s="70"/>
      <c r="C174" s="70"/>
      <c r="D174" s="3"/>
      <c r="E174" s="3"/>
      <c r="F174" s="3"/>
      <c r="G174" s="3"/>
      <c r="H174" s="71" t="s">
        <v>968</v>
      </c>
      <c r="I174" s="72" t="e">
        <v>#N/A</v>
      </c>
      <c r="J174" s="72" t="e">
        <v>#N/A</v>
      </c>
      <c r="K174" s="115"/>
      <c r="L174" s="115"/>
      <c r="M174" s="115"/>
      <c r="N174" s="115"/>
      <c r="O174" s="115"/>
      <c r="P174" s="115"/>
      <c r="Q174" s="115"/>
      <c r="R174" s="115"/>
      <c r="S174" s="115"/>
      <c r="T174" s="115"/>
      <c r="U174" s="115"/>
      <c r="V174" s="115"/>
      <c r="W174" s="116"/>
      <c r="X174" s="116"/>
      <c r="Y174" s="117"/>
    </row>
    <row r="175" spans="1:25" ht="21" customHeight="1">
      <c r="A175" s="69"/>
      <c r="B175" s="70"/>
      <c r="C175" s="70"/>
      <c r="D175" s="3"/>
      <c r="E175" s="3"/>
      <c r="F175" s="3"/>
      <c r="G175" s="3"/>
      <c r="H175" s="71" t="s">
        <v>968</v>
      </c>
      <c r="I175" s="72" t="e">
        <v>#N/A</v>
      </c>
      <c r="J175" s="72" t="e">
        <v>#N/A</v>
      </c>
      <c r="K175" s="115"/>
      <c r="L175" s="115"/>
      <c r="M175" s="115"/>
      <c r="N175" s="115"/>
      <c r="O175" s="115"/>
      <c r="P175" s="115"/>
      <c r="Q175" s="115"/>
      <c r="R175" s="115"/>
      <c r="S175" s="115"/>
      <c r="T175" s="115"/>
      <c r="U175" s="115"/>
      <c r="V175" s="115"/>
      <c r="W175" s="116"/>
      <c r="X175" s="116"/>
      <c r="Y175" s="117"/>
    </row>
    <row r="176" spans="1:25" ht="21" customHeight="1">
      <c r="A176" s="69"/>
      <c r="B176" s="70"/>
      <c r="C176" s="70"/>
      <c r="D176" s="3"/>
      <c r="E176" s="3"/>
      <c r="F176" s="3"/>
      <c r="G176" s="3"/>
      <c r="H176" s="71" t="s">
        <v>968</v>
      </c>
      <c r="I176" s="72" t="e">
        <v>#N/A</v>
      </c>
      <c r="J176" s="72" t="e">
        <v>#N/A</v>
      </c>
      <c r="K176" s="115"/>
      <c r="L176" s="115"/>
      <c r="M176" s="115"/>
      <c r="N176" s="115"/>
      <c r="O176" s="115"/>
      <c r="P176" s="115"/>
      <c r="Q176" s="115"/>
      <c r="R176" s="115"/>
      <c r="S176" s="115"/>
      <c r="T176" s="115"/>
      <c r="U176" s="115"/>
      <c r="V176" s="115"/>
      <c r="W176" s="116"/>
      <c r="X176" s="116"/>
      <c r="Y176" s="117"/>
    </row>
    <row r="177" spans="1:25" ht="21" customHeight="1">
      <c r="A177" s="69"/>
      <c r="B177" s="70"/>
      <c r="C177" s="70"/>
      <c r="D177" s="3"/>
      <c r="E177" s="3"/>
      <c r="F177" s="3"/>
      <c r="G177" s="3"/>
      <c r="H177" s="71" t="s">
        <v>968</v>
      </c>
      <c r="I177" s="72" t="e">
        <v>#N/A</v>
      </c>
      <c r="J177" s="72" t="e">
        <v>#N/A</v>
      </c>
      <c r="K177" s="115"/>
      <c r="L177" s="115"/>
      <c r="M177" s="115"/>
      <c r="N177" s="115"/>
      <c r="O177" s="115"/>
      <c r="P177" s="115"/>
      <c r="Q177" s="115"/>
      <c r="R177" s="115"/>
      <c r="S177" s="115"/>
      <c r="T177" s="115"/>
      <c r="U177" s="115"/>
      <c r="V177" s="115"/>
      <c r="W177" s="116"/>
      <c r="X177" s="116"/>
      <c r="Y177" s="117"/>
    </row>
    <row r="178" spans="1:25" ht="21" customHeight="1">
      <c r="A178" s="69"/>
      <c r="B178" s="70"/>
      <c r="C178" s="70"/>
      <c r="D178" s="3"/>
      <c r="E178" s="3"/>
      <c r="F178" s="3"/>
      <c r="G178" s="3"/>
      <c r="H178" s="71" t="s">
        <v>968</v>
      </c>
      <c r="I178" s="72" t="e">
        <v>#N/A</v>
      </c>
      <c r="J178" s="72" t="e">
        <v>#N/A</v>
      </c>
      <c r="K178" s="115"/>
      <c r="L178" s="115"/>
      <c r="M178" s="115"/>
      <c r="N178" s="115"/>
      <c r="O178" s="115"/>
      <c r="P178" s="115"/>
      <c r="Q178" s="115"/>
      <c r="R178" s="115"/>
      <c r="S178" s="115"/>
      <c r="T178" s="115"/>
      <c r="U178" s="115"/>
      <c r="V178" s="115"/>
      <c r="W178" s="116"/>
      <c r="X178" s="116"/>
      <c r="Y178" s="117"/>
    </row>
    <row r="179" spans="1:25" ht="21" customHeight="1">
      <c r="A179" s="69"/>
      <c r="B179" s="70"/>
      <c r="C179" s="70"/>
      <c r="D179" s="3"/>
      <c r="E179" s="3"/>
      <c r="F179" s="3"/>
      <c r="G179" s="3"/>
      <c r="H179" s="71" t="s">
        <v>968</v>
      </c>
      <c r="I179" s="72" t="e">
        <v>#N/A</v>
      </c>
      <c r="J179" s="72" t="e">
        <v>#N/A</v>
      </c>
      <c r="K179" s="115"/>
      <c r="L179" s="115"/>
      <c r="M179" s="115"/>
      <c r="N179" s="115"/>
      <c r="O179" s="115"/>
      <c r="P179" s="115"/>
      <c r="Q179" s="115"/>
      <c r="R179" s="115"/>
      <c r="S179" s="115"/>
      <c r="T179" s="115"/>
      <c r="U179" s="115"/>
      <c r="V179" s="115"/>
      <c r="W179" s="116"/>
      <c r="X179" s="116"/>
      <c r="Y179" s="117"/>
    </row>
    <row r="180" spans="1:25" ht="21" customHeight="1">
      <c r="A180" s="69"/>
      <c r="B180" s="70"/>
      <c r="C180" s="70"/>
      <c r="D180" s="3"/>
      <c r="E180" s="3"/>
      <c r="F180" s="3"/>
      <c r="G180" s="3"/>
      <c r="H180" s="71" t="s">
        <v>968</v>
      </c>
      <c r="I180" s="72" t="e">
        <v>#N/A</v>
      </c>
      <c r="J180" s="72" t="e">
        <v>#N/A</v>
      </c>
      <c r="K180" s="115"/>
      <c r="L180" s="115"/>
      <c r="M180" s="115"/>
      <c r="N180" s="115"/>
      <c r="O180" s="115"/>
      <c r="P180" s="115"/>
      <c r="Q180" s="115"/>
      <c r="R180" s="115"/>
      <c r="S180" s="115"/>
      <c r="T180" s="115"/>
      <c r="U180" s="115"/>
      <c r="V180" s="115"/>
      <c r="W180" s="116"/>
      <c r="X180" s="116"/>
      <c r="Y180" s="117"/>
    </row>
    <row r="181" spans="1:25" ht="21" customHeight="1">
      <c r="A181" s="69"/>
      <c r="B181" s="70"/>
      <c r="C181" s="70"/>
      <c r="D181" s="3"/>
      <c r="E181" s="3"/>
      <c r="F181" s="3"/>
      <c r="G181" s="3"/>
      <c r="H181" s="71" t="s">
        <v>968</v>
      </c>
      <c r="I181" s="72" t="e">
        <v>#N/A</v>
      </c>
      <c r="J181" s="72" t="e">
        <v>#N/A</v>
      </c>
      <c r="K181" s="115"/>
      <c r="L181" s="115"/>
      <c r="M181" s="115"/>
      <c r="N181" s="115"/>
      <c r="O181" s="115"/>
      <c r="P181" s="115"/>
      <c r="Q181" s="115"/>
      <c r="R181" s="115"/>
      <c r="S181" s="115"/>
      <c r="T181" s="115"/>
      <c r="U181" s="115"/>
      <c r="V181" s="115"/>
      <c r="W181" s="116"/>
      <c r="X181" s="116"/>
      <c r="Y181" s="117"/>
    </row>
    <row r="182" spans="1:25" ht="21" customHeight="1">
      <c r="A182" s="69"/>
      <c r="B182" s="70"/>
      <c r="C182" s="70"/>
      <c r="D182" s="3"/>
      <c r="E182" s="3"/>
      <c r="F182" s="3"/>
      <c r="G182" s="3"/>
      <c r="H182" s="71" t="s">
        <v>968</v>
      </c>
      <c r="I182" s="72" t="e">
        <v>#N/A</v>
      </c>
      <c r="J182" s="72" t="e">
        <v>#N/A</v>
      </c>
      <c r="K182" s="115"/>
      <c r="L182" s="115"/>
      <c r="M182" s="115"/>
      <c r="N182" s="115"/>
      <c r="O182" s="115"/>
      <c r="P182" s="115"/>
      <c r="Q182" s="115"/>
      <c r="R182" s="115"/>
      <c r="S182" s="115"/>
      <c r="T182" s="115"/>
      <c r="U182" s="115"/>
      <c r="V182" s="115"/>
      <c r="W182" s="116"/>
      <c r="X182" s="116"/>
      <c r="Y182" s="117"/>
    </row>
    <row r="183" spans="1:25" ht="21" customHeight="1">
      <c r="A183" s="69"/>
      <c r="B183" s="70"/>
      <c r="C183" s="70"/>
      <c r="D183" s="3"/>
      <c r="E183" s="3"/>
      <c r="F183" s="3"/>
      <c r="G183" s="3"/>
      <c r="H183" s="71" t="s">
        <v>968</v>
      </c>
      <c r="I183" s="72" t="e">
        <v>#N/A</v>
      </c>
      <c r="J183" s="72" t="e">
        <v>#N/A</v>
      </c>
      <c r="K183" s="115"/>
      <c r="L183" s="115"/>
      <c r="M183" s="115"/>
      <c r="N183" s="115"/>
      <c r="O183" s="115"/>
      <c r="P183" s="115"/>
      <c r="Q183" s="115"/>
      <c r="R183" s="115"/>
      <c r="S183" s="115"/>
      <c r="T183" s="115"/>
      <c r="U183" s="115"/>
      <c r="V183" s="115"/>
      <c r="W183" s="116"/>
      <c r="X183" s="116"/>
      <c r="Y183" s="117"/>
    </row>
    <row r="184" spans="1:25" ht="21" customHeight="1">
      <c r="A184" s="69"/>
      <c r="B184" s="70"/>
      <c r="C184" s="70"/>
      <c r="D184" s="3"/>
      <c r="E184" s="3"/>
      <c r="F184" s="3"/>
      <c r="G184" s="3"/>
      <c r="H184" s="71" t="s">
        <v>968</v>
      </c>
      <c r="I184" s="72" t="e">
        <v>#N/A</v>
      </c>
      <c r="J184" s="72" t="e">
        <v>#N/A</v>
      </c>
      <c r="K184" s="115"/>
      <c r="L184" s="115"/>
      <c r="M184" s="115"/>
      <c r="N184" s="115"/>
      <c r="O184" s="115"/>
      <c r="P184" s="115"/>
      <c r="Q184" s="115"/>
      <c r="R184" s="115"/>
      <c r="S184" s="115"/>
      <c r="T184" s="115"/>
      <c r="U184" s="115"/>
      <c r="V184" s="115"/>
      <c r="W184" s="116"/>
      <c r="X184" s="116"/>
      <c r="Y184" s="117"/>
    </row>
    <row r="185" spans="1:25" ht="21" customHeight="1">
      <c r="A185" s="69"/>
      <c r="B185" s="70"/>
      <c r="C185" s="70"/>
      <c r="D185" s="3"/>
      <c r="E185" s="3"/>
      <c r="F185" s="3"/>
      <c r="G185" s="3"/>
      <c r="H185" s="71" t="s">
        <v>968</v>
      </c>
      <c r="I185" s="72" t="e">
        <v>#N/A</v>
      </c>
      <c r="J185" s="72" t="e">
        <v>#N/A</v>
      </c>
      <c r="K185" s="115"/>
      <c r="L185" s="115"/>
      <c r="M185" s="115"/>
      <c r="N185" s="115"/>
      <c r="O185" s="115"/>
      <c r="P185" s="115"/>
      <c r="Q185" s="115"/>
      <c r="R185" s="115"/>
      <c r="S185" s="115"/>
      <c r="T185" s="115"/>
      <c r="U185" s="115"/>
      <c r="V185" s="115"/>
      <c r="W185" s="116"/>
      <c r="X185" s="116"/>
      <c r="Y185" s="117"/>
    </row>
    <row r="186" spans="1:25" ht="21" customHeight="1">
      <c r="A186" s="69"/>
      <c r="B186" s="70"/>
      <c r="C186" s="70"/>
      <c r="D186" s="3"/>
      <c r="E186" s="3"/>
      <c r="F186" s="3"/>
      <c r="G186" s="3"/>
      <c r="H186" s="71" t="s">
        <v>968</v>
      </c>
      <c r="I186" s="72" t="e">
        <v>#N/A</v>
      </c>
      <c r="J186" s="72" t="e">
        <v>#N/A</v>
      </c>
      <c r="K186" s="115"/>
      <c r="L186" s="115"/>
      <c r="M186" s="115"/>
      <c r="N186" s="115"/>
      <c r="O186" s="115"/>
      <c r="P186" s="115"/>
      <c r="Q186" s="115"/>
      <c r="R186" s="115"/>
      <c r="S186" s="115"/>
      <c r="T186" s="115"/>
      <c r="U186" s="115"/>
      <c r="V186" s="115"/>
      <c r="W186" s="116"/>
      <c r="X186" s="116"/>
      <c r="Y186" s="117"/>
    </row>
    <row r="187" spans="1:25" ht="21" customHeight="1">
      <c r="A187" s="69"/>
      <c r="B187" s="70"/>
      <c r="C187" s="70"/>
      <c r="D187" s="3"/>
      <c r="E187" s="3"/>
      <c r="F187" s="3"/>
      <c r="G187" s="3"/>
      <c r="H187" s="71" t="s">
        <v>968</v>
      </c>
      <c r="I187" s="72" t="e">
        <v>#N/A</v>
      </c>
      <c r="J187" s="72" t="e">
        <v>#N/A</v>
      </c>
      <c r="K187" s="115"/>
      <c r="L187" s="115"/>
      <c r="M187" s="115"/>
      <c r="N187" s="115"/>
      <c r="O187" s="115"/>
      <c r="P187" s="115"/>
      <c r="Q187" s="115"/>
      <c r="R187" s="115"/>
      <c r="S187" s="115"/>
      <c r="T187" s="115"/>
      <c r="U187" s="115"/>
      <c r="V187" s="115"/>
      <c r="W187" s="116"/>
      <c r="X187" s="116"/>
      <c r="Y187" s="117"/>
    </row>
    <row r="188" spans="1:25" ht="21" customHeight="1">
      <c r="A188" s="69"/>
      <c r="B188" s="70"/>
      <c r="C188" s="70"/>
      <c r="D188" s="3"/>
      <c r="E188" s="3"/>
      <c r="F188" s="3"/>
      <c r="G188" s="3"/>
      <c r="H188" s="71" t="s">
        <v>968</v>
      </c>
      <c r="I188" s="72" t="e">
        <v>#N/A</v>
      </c>
      <c r="J188" s="72" t="e">
        <v>#N/A</v>
      </c>
      <c r="K188" s="115"/>
      <c r="L188" s="115"/>
      <c r="M188" s="115"/>
      <c r="N188" s="115"/>
      <c r="O188" s="115"/>
      <c r="P188" s="115"/>
      <c r="Q188" s="115"/>
      <c r="R188" s="115"/>
      <c r="S188" s="115"/>
      <c r="T188" s="115"/>
      <c r="U188" s="115"/>
      <c r="V188" s="115"/>
      <c r="W188" s="116"/>
      <c r="X188" s="116"/>
      <c r="Y188" s="117"/>
    </row>
    <row r="189" spans="1:25" ht="21" customHeight="1">
      <c r="A189" s="69"/>
      <c r="B189" s="70"/>
      <c r="C189" s="70"/>
      <c r="D189" s="3"/>
      <c r="E189" s="3"/>
      <c r="F189" s="3"/>
      <c r="G189" s="3"/>
      <c r="H189" s="71" t="s">
        <v>968</v>
      </c>
      <c r="I189" s="72" t="e">
        <v>#N/A</v>
      </c>
      <c r="J189" s="72" t="e">
        <v>#N/A</v>
      </c>
      <c r="K189" s="115"/>
      <c r="L189" s="115"/>
      <c r="M189" s="115"/>
      <c r="N189" s="115"/>
      <c r="O189" s="115"/>
      <c r="P189" s="115"/>
      <c r="Q189" s="115"/>
      <c r="R189" s="115"/>
      <c r="S189" s="115"/>
      <c r="T189" s="115"/>
      <c r="U189" s="115"/>
      <c r="V189" s="115"/>
      <c r="W189" s="116"/>
      <c r="X189" s="116"/>
      <c r="Y189" s="117"/>
    </row>
    <row r="190" spans="1:25" ht="21" customHeight="1">
      <c r="A190" s="69"/>
      <c r="B190" s="70"/>
      <c r="C190" s="70"/>
      <c r="D190" s="3"/>
      <c r="E190" s="3"/>
      <c r="F190" s="3"/>
      <c r="G190" s="3"/>
      <c r="H190" s="71" t="s">
        <v>968</v>
      </c>
      <c r="I190" s="72" t="e">
        <v>#N/A</v>
      </c>
      <c r="J190" s="72" t="e">
        <v>#N/A</v>
      </c>
      <c r="K190" s="115"/>
      <c r="L190" s="115"/>
      <c r="M190" s="115"/>
      <c r="N190" s="115"/>
      <c r="O190" s="115"/>
      <c r="P190" s="115"/>
      <c r="Q190" s="115"/>
      <c r="R190" s="115"/>
      <c r="S190" s="115"/>
      <c r="T190" s="115"/>
      <c r="U190" s="115"/>
      <c r="V190" s="115"/>
      <c r="W190" s="116"/>
      <c r="X190" s="116"/>
      <c r="Y190" s="117"/>
    </row>
    <row r="191" spans="1:25" ht="21" customHeight="1">
      <c r="A191" s="69"/>
      <c r="B191" s="70"/>
      <c r="C191" s="70"/>
      <c r="D191" s="3"/>
      <c r="E191" s="3"/>
      <c r="F191" s="3"/>
      <c r="G191" s="3"/>
      <c r="H191" s="71" t="s">
        <v>968</v>
      </c>
      <c r="I191" s="72" t="e">
        <v>#N/A</v>
      </c>
      <c r="J191" s="72" t="e">
        <v>#N/A</v>
      </c>
      <c r="K191" s="115"/>
      <c r="L191" s="115"/>
      <c r="M191" s="115"/>
      <c r="N191" s="115"/>
      <c r="O191" s="115"/>
      <c r="P191" s="115"/>
      <c r="Q191" s="115"/>
      <c r="R191" s="115"/>
      <c r="S191" s="115"/>
      <c r="T191" s="115"/>
      <c r="U191" s="115"/>
      <c r="V191" s="115"/>
      <c r="W191" s="116"/>
      <c r="X191" s="116"/>
      <c r="Y191" s="117"/>
    </row>
    <row r="192" spans="1:25" ht="21" customHeight="1">
      <c r="A192" s="69"/>
      <c r="B192" s="70"/>
      <c r="C192" s="70"/>
      <c r="D192" s="3"/>
      <c r="E192" s="3"/>
      <c r="F192" s="3"/>
      <c r="G192" s="3"/>
      <c r="H192" s="71" t="s">
        <v>968</v>
      </c>
      <c r="I192" s="72" t="e">
        <v>#N/A</v>
      </c>
      <c r="J192" s="72" t="e">
        <v>#N/A</v>
      </c>
      <c r="K192" s="115"/>
      <c r="L192" s="115"/>
      <c r="M192" s="115"/>
      <c r="N192" s="115"/>
      <c r="O192" s="115"/>
      <c r="P192" s="115"/>
      <c r="Q192" s="115"/>
      <c r="R192" s="115"/>
      <c r="S192" s="115"/>
      <c r="T192" s="115"/>
      <c r="U192" s="115"/>
      <c r="V192" s="115"/>
      <c r="W192" s="116"/>
      <c r="X192" s="116"/>
      <c r="Y192" s="117"/>
    </row>
    <row r="193" spans="1:25" ht="21" customHeight="1">
      <c r="A193" s="69"/>
      <c r="B193" s="70"/>
      <c r="C193" s="70"/>
      <c r="D193" s="3"/>
      <c r="E193" s="3"/>
      <c r="F193" s="3"/>
      <c r="G193" s="3"/>
      <c r="H193" s="71" t="s">
        <v>968</v>
      </c>
      <c r="I193" s="72" t="e">
        <v>#N/A</v>
      </c>
      <c r="J193" s="72" t="e">
        <v>#N/A</v>
      </c>
      <c r="K193" s="115"/>
      <c r="L193" s="115"/>
      <c r="M193" s="115"/>
      <c r="N193" s="115"/>
      <c r="O193" s="115"/>
      <c r="P193" s="115"/>
      <c r="Q193" s="115"/>
      <c r="R193" s="115"/>
      <c r="S193" s="115"/>
      <c r="T193" s="115"/>
      <c r="U193" s="115"/>
      <c r="V193" s="115"/>
      <c r="W193" s="116"/>
      <c r="X193" s="116"/>
      <c r="Y193" s="117"/>
    </row>
    <row r="194" spans="1:25" ht="21" customHeight="1">
      <c r="A194" s="69"/>
      <c r="B194" s="70"/>
      <c r="C194" s="70"/>
      <c r="D194" s="3"/>
      <c r="E194" s="3"/>
      <c r="F194" s="3"/>
      <c r="G194" s="3"/>
      <c r="H194" s="71" t="s">
        <v>968</v>
      </c>
      <c r="I194" s="72" t="e">
        <v>#N/A</v>
      </c>
      <c r="J194" s="72" t="e">
        <v>#N/A</v>
      </c>
      <c r="K194" s="115"/>
      <c r="L194" s="115"/>
      <c r="M194" s="115"/>
      <c r="N194" s="115"/>
      <c r="O194" s="115"/>
      <c r="P194" s="115"/>
      <c r="Q194" s="115"/>
      <c r="R194" s="115"/>
      <c r="S194" s="115"/>
      <c r="T194" s="115"/>
      <c r="U194" s="115"/>
      <c r="V194" s="115"/>
      <c r="W194" s="116"/>
      <c r="X194" s="116"/>
      <c r="Y194" s="117"/>
    </row>
    <row r="195" spans="1:25" ht="21" customHeight="1">
      <c r="A195" s="69"/>
      <c r="B195" s="70"/>
      <c r="C195" s="70"/>
      <c r="D195" s="3"/>
      <c r="E195" s="3"/>
      <c r="F195" s="3"/>
      <c r="G195" s="3"/>
      <c r="H195" s="71" t="s">
        <v>968</v>
      </c>
      <c r="I195" s="72" t="e">
        <v>#N/A</v>
      </c>
      <c r="J195" s="72" t="e">
        <v>#N/A</v>
      </c>
      <c r="K195" s="115"/>
      <c r="L195" s="115"/>
      <c r="M195" s="115"/>
      <c r="N195" s="115"/>
      <c r="O195" s="115"/>
      <c r="P195" s="115"/>
      <c r="Q195" s="115"/>
      <c r="R195" s="115"/>
      <c r="S195" s="115"/>
      <c r="T195" s="115"/>
      <c r="U195" s="115"/>
      <c r="V195" s="115"/>
      <c r="W195" s="116"/>
      <c r="X195" s="116"/>
      <c r="Y195" s="117"/>
    </row>
    <row r="196" spans="1:25" ht="21" customHeight="1">
      <c r="A196" s="69"/>
      <c r="B196" s="70"/>
      <c r="C196" s="70"/>
      <c r="D196" s="3"/>
      <c r="E196" s="3"/>
      <c r="F196" s="3"/>
      <c r="G196" s="3"/>
      <c r="H196" s="71" t="s">
        <v>968</v>
      </c>
      <c r="I196" s="72" t="e">
        <v>#N/A</v>
      </c>
      <c r="J196" s="72" t="e">
        <v>#N/A</v>
      </c>
      <c r="K196" s="115"/>
      <c r="L196" s="115"/>
      <c r="M196" s="115"/>
      <c r="N196" s="115"/>
      <c r="O196" s="115"/>
      <c r="P196" s="115"/>
      <c r="Q196" s="115"/>
      <c r="R196" s="115"/>
      <c r="S196" s="115"/>
      <c r="T196" s="115"/>
      <c r="U196" s="115"/>
      <c r="V196" s="115"/>
      <c r="W196" s="116"/>
      <c r="X196" s="116"/>
      <c r="Y196" s="117"/>
    </row>
    <row r="197" spans="1:25" ht="21" customHeight="1">
      <c r="A197" s="69"/>
      <c r="B197" s="70"/>
      <c r="C197" s="70"/>
      <c r="D197" s="3"/>
      <c r="E197" s="3"/>
      <c r="F197" s="3"/>
      <c r="G197" s="3"/>
      <c r="H197" s="71" t="s">
        <v>968</v>
      </c>
      <c r="I197" s="72" t="e">
        <v>#N/A</v>
      </c>
      <c r="J197" s="72" t="e">
        <v>#N/A</v>
      </c>
      <c r="K197" s="115"/>
      <c r="L197" s="115"/>
      <c r="M197" s="115"/>
      <c r="N197" s="115"/>
      <c r="O197" s="115"/>
      <c r="P197" s="115"/>
      <c r="Q197" s="115"/>
      <c r="R197" s="115"/>
      <c r="S197" s="115"/>
      <c r="T197" s="115"/>
      <c r="U197" s="115"/>
      <c r="V197" s="115"/>
      <c r="W197" s="116"/>
      <c r="X197" s="116"/>
      <c r="Y197" s="117"/>
    </row>
    <row r="198" spans="1:25" ht="21" customHeight="1">
      <c r="A198" s="69"/>
      <c r="B198" s="70"/>
      <c r="C198" s="70"/>
      <c r="D198" s="3"/>
      <c r="E198" s="3"/>
      <c r="F198" s="3"/>
      <c r="G198" s="3"/>
      <c r="H198" s="71" t="s">
        <v>968</v>
      </c>
      <c r="I198" s="72" t="e">
        <v>#N/A</v>
      </c>
      <c r="J198" s="72" t="e">
        <v>#N/A</v>
      </c>
      <c r="K198" s="115"/>
      <c r="L198" s="115"/>
      <c r="M198" s="115"/>
      <c r="N198" s="115"/>
      <c r="O198" s="115"/>
      <c r="P198" s="115"/>
      <c r="Q198" s="115"/>
      <c r="R198" s="115"/>
      <c r="S198" s="115"/>
      <c r="T198" s="115"/>
      <c r="U198" s="115"/>
      <c r="V198" s="115"/>
      <c r="W198" s="116"/>
      <c r="X198" s="116"/>
      <c r="Y198" s="117"/>
    </row>
    <row r="199" spans="1:25" ht="21" customHeight="1">
      <c r="A199" s="69"/>
      <c r="B199" s="70"/>
      <c r="C199" s="70"/>
      <c r="D199" s="3"/>
      <c r="E199" s="3"/>
      <c r="F199" s="3"/>
      <c r="G199" s="3"/>
      <c r="H199" s="71" t="s">
        <v>968</v>
      </c>
      <c r="I199" s="72" t="e">
        <v>#N/A</v>
      </c>
      <c r="J199" s="72" t="e">
        <v>#N/A</v>
      </c>
      <c r="K199" s="115"/>
      <c r="L199" s="115"/>
      <c r="M199" s="115"/>
      <c r="N199" s="115"/>
      <c r="O199" s="115"/>
      <c r="P199" s="115"/>
      <c r="Q199" s="115"/>
      <c r="R199" s="115"/>
      <c r="S199" s="115"/>
      <c r="T199" s="115"/>
      <c r="U199" s="115"/>
      <c r="V199" s="115"/>
      <c r="W199" s="116"/>
      <c r="X199" s="116"/>
      <c r="Y199" s="117"/>
    </row>
    <row r="200" spans="1:25" ht="21" customHeight="1">
      <c r="A200" s="69"/>
      <c r="B200" s="70"/>
      <c r="C200" s="70"/>
      <c r="D200" s="3"/>
      <c r="E200" s="3"/>
      <c r="F200" s="3"/>
      <c r="G200" s="3"/>
      <c r="H200" s="71" t="s">
        <v>968</v>
      </c>
      <c r="I200" s="72" t="e">
        <v>#N/A</v>
      </c>
      <c r="J200" s="72" t="e">
        <v>#N/A</v>
      </c>
      <c r="K200" s="115"/>
      <c r="L200" s="115"/>
      <c r="M200" s="115"/>
      <c r="N200" s="115"/>
      <c r="O200" s="115"/>
      <c r="P200" s="115"/>
      <c r="Q200" s="115"/>
      <c r="R200" s="115"/>
      <c r="S200" s="115"/>
      <c r="T200" s="115"/>
      <c r="U200" s="115"/>
      <c r="V200" s="115"/>
      <c r="W200" s="116"/>
      <c r="X200" s="116"/>
      <c r="Y200" s="117"/>
    </row>
    <row r="201" spans="1:25" ht="21" customHeight="1">
      <c r="A201" s="69"/>
      <c r="B201" s="70"/>
      <c r="C201" s="70"/>
      <c r="D201" s="3"/>
      <c r="E201" s="3"/>
      <c r="F201" s="3"/>
      <c r="G201" s="3"/>
      <c r="H201" s="71" t="s">
        <v>968</v>
      </c>
      <c r="I201" s="72" t="e">
        <v>#N/A</v>
      </c>
      <c r="J201" s="72" t="e">
        <v>#N/A</v>
      </c>
      <c r="K201" s="115"/>
      <c r="L201" s="115"/>
      <c r="M201" s="115"/>
      <c r="N201" s="115"/>
      <c r="O201" s="115"/>
      <c r="P201" s="115"/>
      <c r="Q201" s="115"/>
      <c r="R201" s="115"/>
      <c r="S201" s="115"/>
      <c r="T201" s="115"/>
      <c r="U201" s="115"/>
      <c r="V201" s="115"/>
      <c r="W201" s="116"/>
      <c r="X201" s="116"/>
      <c r="Y201" s="117"/>
    </row>
    <row r="202" spans="1:25" ht="21" customHeight="1">
      <c r="A202" s="69"/>
      <c r="B202" s="70"/>
      <c r="C202" s="70"/>
      <c r="D202" s="3"/>
      <c r="E202" s="3"/>
      <c r="F202" s="3"/>
      <c r="G202" s="3"/>
      <c r="H202" s="71" t="s">
        <v>968</v>
      </c>
      <c r="I202" s="72" t="e">
        <v>#N/A</v>
      </c>
      <c r="J202" s="72" t="e">
        <v>#N/A</v>
      </c>
      <c r="K202" s="115"/>
      <c r="L202" s="115"/>
      <c r="M202" s="115"/>
      <c r="N202" s="115"/>
      <c r="O202" s="115"/>
      <c r="P202" s="115"/>
      <c r="Q202" s="115"/>
      <c r="R202" s="115"/>
      <c r="S202" s="115"/>
      <c r="T202" s="115"/>
      <c r="U202" s="115"/>
      <c r="V202" s="115"/>
      <c r="W202" s="116"/>
      <c r="X202" s="116"/>
      <c r="Y202" s="117"/>
    </row>
    <row r="203" spans="1:25" ht="21" customHeight="1">
      <c r="A203" s="69"/>
      <c r="B203" s="70"/>
      <c r="C203" s="70"/>
      <c r="D203" s="3"/>
      <c r="E203" s="3"/>
      <c r="F203" s="3"/>
      <c r="G203" s="3"/>
      <c r="H203" s="71" t="s">
        <v>968</v>
      </c>
      <c r="I203" s="72" t="e">
        <v>#N/A</v>
      </c>
      <c r="J203" s="72" t="e">
        <v>#N/A</v>
      </c>
      <c r="K203" s="115"/>
      <c r="L203" s="115"/>
      <c r="M203" s="115"/>
      <c r="N203" s="115"/>
      <c r="O203" s="115"/>
      <c r="P203" s="115"/>
      <c r="Q203" s="115"/>
      <c r="R203" s="115"/>
      <c r="S203" s="115"/>
      <c r="T203" s="115"/>
      <c r="U203" s="115"/>
      <c r="V203" s="115"/>
      <c r="W203" s="116"/>
      <c r="X203" s="116"/>
      <c r="Y203" s="117"/>
    </row>
    <row r="204" spans="1:25" ht="21" customHeight="1">
      <c r="A204" s="69"/>
      <c r="B204" s="70"/>
      <c r="C204" s="70"/>
      <c r="D204" s="3"/>
      <c r="E204" s="3"/>
      <c r="F204" s="3"/>
      <c r="G204" s="3"/>
      <c r="H204" s="71" t="s">
        <v>968</v>
      </c>
      <c r="I204" s="72" t="e">
        <v>#N/A</v>
      </c>
      <c r="J204" s="72" t="e">
        <v>#N/A</v>
      </c>
      <c r="K204" s="115"/>
      <c r="L204" s="115"/>
      <c r="M204" s="115"/>
      <c r="N204" s="115"/>
      <c r="O204" s="115"/>
      <c r="P204" s="115"/>
      <c r="Q204" s="115"/>
      <c r="R204" s="115"/>
      <c r="S204" s="115"/>
      <c r="T204" s="115"/>
      <c r="U204" s="115"/>
      <c r="V204" s="115"/>
      <c r="W204" s="116"/>
      <c r="X204" s="116"/>
      <c r="Y204" s="117"/>
    </row>
    <row r="205" spans="1:25" ht="21" customHeight="1">
      <c r="A205" s="69"/>
      <c r="B205" s="70"/>
      <c r="C205" s="70"/>
      <c r="D205" s="3"/>
      <c r="E205" s="3"/>
      <c r="F205" s="3"/>
      <c r="G205" s="3"/>
      <c r="H205" s="71" t="s">
        <v>968</v>
      </c>
      <c r="I205" s="72" t="e">
        <v>#N/A</v>
      </c>
      <c r="J205" s="72" t="e">
        <v>#N/A</v>
      </c>
      <c r="K205" s="115"/>
      <c r="L205" s="115"/>
      <c r="M205" s="115"/>
      <c r="N205" s="115"/>
      <c r="O205" s="115"/>
      <c r="P205" s="115"/>
      <c r="Q205" s="115"/>
      <c r="R205" s="115"/>
      <c r="S205" s="115"/>
      <c r="T205" s="115"/>
      <c r="U205" s="115"/>
      <c r="V205" s="115"/>
      <c r="W205" s="116"/>
      <c r="X205" s="116"/>
      <c r="Y205" s="117"/>
    </row>
    <row r="206" spans="1:25" ht="21" customHeight="1">
      <c r="A206" s="69"/>
      <c r="B206" s="70"/>
      <c r="C206" s="70"/>
      <c r="D206" s="3"/>
      <c r="E206" s="3"/>
      <c r="F206" s="3"/>
      <c r="G206" s="3"/>
      <c r="H206" s="71" t="s">
        <v>968</v>
      </c>
      <c r="I206" s="72" t="e">
        <v>#N/A</v>
      </c>
      <c r="J206" s="72" t="e">
        <v>#N/A</v>
      </c>
      <c r="K206" s="115"/>
      <c r="L206" s="115"/>
      <c r="M206" s="115"/>
      <c r="N206" s="115"/>
      <c r="O206" s="115"/>
      <c r="P206" s="115"/>
      <c r="Q206" s="115"/>
      <c r="R206" s="115"/>
      <c r="S206" s="115"/>
      <c r="T206" s="115"/>
      <c r="U206" s="115"/>
      <c r="V206" s="115"/>
      <c r="W206" s="116"/>
      <c r="X206" s="116"/>
      <c r="Y206" s="117"/>
    </row>
    <row r="207" spans="1:25" ht="21" customHeight="1">
      <c r="A207" s="69"/>
      <c r="B207" s="70"/>
      <c r="C207" s="70"/>
      <c r="D207" s="3"/>
      <c r="E207" s="3"/>
      <c r="F207" s="3"/>
      <c r="G207" s="3"/>
      <c r="H207" s="71" t="s">
        <v>968</v>
      </c>
      <c r="I207" s="72" t="e">
        <v>#N/A</v>
      </c>
      <c r="J207" s="72" t="e">
        <v>#N/A</v>
      </c>
      <c r="K207" s="115"/>
      <c r="L207" s="115"/>
      <c r="M207" s="115"/>
      <c r="N207" s="115"/>
      <c r="O207" s="115"/>
      <c r="P207" s="115"/>
      <c r="Q207" s="115"/>
      <c r="R207" s="115"/>
      <c r="S207" s="115"/>
      <c r="T207" s="115"/>
      <c r="U207" s="115"/>
      <c r="V207" s="115"/>
      <c r="W207" s="116"/>
      <c r="X207" s="116"/>
      <c r="Y207" s="117"/>
    </row>
    <row r="208" spans="1:25" ht="21" customHeight="1">
      <c r="A208" s="69"/>
      <c r="B208" s="70"/>
      <c r="C208" s="70"/>
      <c r="D208" s="3"/>
      <c r="E208" s="3"/>
      <c r="F208" s="3"/>
      <c r="G208" s="3"/>
      <c r="H208" s="71" t="s">
        <v>968</v>
      </c>
      <c r="I208" s="72" t="e">
        <v>#N/A</v>
      </c>
      <c r="J208" s="72" t="e">
        <v>#N/A</v>
      </c>
      <c r="K208" s="115"/>
      <c r="L208" s="115"/>
      <c r="M208" s="115"/>
      <c r="N208" s="115"/>
      <c r="O208" s="115"/>
      <c r="P208" s="115"/>
      <c r="Q208" s="115"/>
      <c r="R208" s="115"/>
      <c r="S208" s="115"/>
      <c r="T208" s="115"/>
      <c r="U208" s="115"/>
      <c r="V208" s="115"/>
      <c r="W208" s="116"/>
      <c r="X208" s="116"/>
      <c r="Y208" s="117"/>
    </row>
    <row r="209" spans="1:25" ht="21" customHeight="1">
      <c r="A209" s="69"/>
      <c r="B209" s="70"/>
      <c r="C209" s="70"/>
      <c r="D209" s="3"/>
      <c r="E209" s="3"/>
      <c r="F209" s="3"/>
      <c r="G209" s="3"/>
      <c r="H209" s="71" t="s">
        <v>968</v>
      </c>
      <c r="I209" s="72" t="e">
        <v>#N/A</v>
      </c>
      <c r="J209" s="72" t="e">
        <v>#N/A</v>
      </c>
      <c r="K209" s="115"/>
      <c r="L209" s="115"/>
      <c r="M209" s="115"/>
      <c r="N209" s="115"/>
      <c r="O209" s="115"/>
      <c r="P209" s="115"/>
      <c r="Q209" s="115"/>
      <c r="R209" s="115"/>
      <c r="S209" s="115"/>
      <c r="T209" s="115"/>
      <c r="U209" s="115"/>
      <c r="V209" s="115"/>
      <c r="W209" s="116"/>
      <c r="X209" s="116"/>
      <c r="Y209" s="117"/>
    </row>
    <row r="210" spans="1:25" ht="21" customHeight="1">
      <c r="A210" s="69"/>
      <c r="B210" s="70"/>
      <c r="C210" s="70"/>
      <c r="D210" s="3"/>
      <c r="E210" s="3"/>
      <c r="F210" s="3"/>
      <c r="G210" s="3"/>
      <c r="H210" s="71" t="s">
        <v>968</v>
      </c>
      <c r="I210" s="72" t="e">
        <v>#N/A</v>
      </c>
      <c r="J210" s="72" t="e">
        <v>#N/A</v>
      </c>
      <c r="K210" s="115"/>
      <c r="L210" s="115"/>
      <c r="M210" s="115"/>
      <c r="N210" s="115"/>
      <c r="O210" s="115"/>
      <c r="P210" s="115"/>
      <c r="Q210" s="115"/>
      <c r="R210" s="115"/>
      <c r="S210" s="115"/>
      <c r="T210" s="115"/>
      <c r="U210" s="115"/>
      <c r="V210" s="115"/>
      <c r="W210" s="116"/>
      <c r="X210" s="116"/>
      <c r="Y210" s="117"/>
    </row>
    <row r="211" spans="1:25" ht="21" customHeight="1">
      <c r="A211" s="69"/>
      <c r="B211" s="70"/>
      <c r="C211" s="70"/>
      <c r="D211" s="3"/>
      <c r="E211" s="3"/>
      <c r="F211" s="3"/>
      <c r="G211" s="3"/>
      <c r="H211" s="71" t="s">
        <v>968</v>
      </c>
      <c r="I211" s="72" t="e">
        <v>#N/A</v>
      </c>
      <c r="J211" s="72" t="e">
        <v>#N/A</v>
      </c>
      <c r="K211" s="115"/>
      <c r="L211" s="115"/>
      <c r="M211" s="115"/>
      <c r="N211" s="115"/>
      <c r="O211" s="115"/>
      <c r="P211" s="115"/>
      <c r="Q211" s="115"/>
      <c r="R211" s="115"/>
      <c r="S211" s="115"/>
      <c r="T211" s="115"/>
      <c r="U211" s="115"/>
      <c r="V211" s="115"/>
      <c r="W211" s="116"/>
      <c r="X211" s="116"/>
      <c r="Y211" s="117"/>
    </row>
    <row r="212" spans="1:25" ht="21" customHeight="1">
      <c r="A212" s="69"/>
      <c r="B212" s="70"/>
      <c r="C212" s="70"/>
      <c r="D212" s="3"/>
      <c r="E212" s="3"/>
      <c r="F212" s="3"/>
      <c r="G212" s="3"/>
      <c r="H212" s="71" t="s">
        <v>968</v>
      </c>
      <c r="I212" s="72" t="e">
        <v>#N/A</v>
      </c>
      <c r="J212" s="72" t="e">
        <v>#N/A</v>
      </c>
      <c r="K212" s="115"/>
      <c r="L212" s="115"/>
      <c r="M212" s="115"/>
      <c r="N212" s="115"/>
      <c r="O212" s="115"/>
      <c r="P212" s="115"/>
      <c r="Q212" s="115"/>
      <c r="R212" s="115"/>
      <c r="S212" s="115"/>
      <c r="T212" s="115"/>
      <c r="U212" s="115"/>
      <c r="V212" s="115"/>
      <c r="W212" s="116"/>
      <c r="X212" s="116"/>
      <c r="Y212" s="117"/>
    </row>
    <row r="213" spans="1:25" ht="21" customHeight="1">
      <c r="A213" s="69"/>
      <c r="B213" s="70"/>
      <c r="C213" s="70"/>
      <c r="D213" s="3"/>
      <c r="E213" s="3"/>
      <c r="F213" s="3"/>
      <c r="G213" s="3"/>
      <c r="H213" s="71" t="s">
        <v>968</v>
      </c>
      <c r="I213" s="72" t="e">
        <v>#N/A</v>
      </c>
      <c r="J213" s="72" t="e">
        <v>#N/A</v>
      </c>
      <c r="K213" s="115"/>
      <c r="L213" s="115"/>
      <c r="M213" s="115"/>
      <c r="N213" s="115"/>
      <c r="O213" s="115"/>
      <c r="P213" s="115"/>
      <c r="Q213" s="115"/>
      <c r="R213" s="115"/>
      <c r="S213" s="115"/>
      <c r="T213" s="115"/>
      <c r="U213" s="115"/>
      <c r="V213" s="115"/>
      <c r="W213" s="116"/>
      <c r="X213" s="116"/>
      <c r="Y213" s="117"/>
    </row>
    <row r="214" spans="1:25" ht="21" customHeight="1">
      <c r="A214" s="69"/>
      <c r="B214" s="70"/>
      <c r="C214" s="70"/>
      <c r="D214" s="3"/>
      <c r="E214" s="3"/>
      <c r="F214" s="3"/>
      <c r="G214" s="3"/>
      <c r="H214" s="71" t="s">
        <v>968</v>
      </c>
      <c r="I214" s="72" t="e">
        <v>#N/A</v>
      </c>
      <c r="J214" s="72" t="e">
        <v>#N/A</v>
      </c>
      <c r="K214" s="115"/>
      <c r="L214" s="115"/>
      <c r="M214" s="115"/>
      <c r="N214" s="115"/>
      <c r="O214" s="115"/>
      <c r="P214" s="115"/>
      <c r="Q214" s="115"/>
      <c r="R214" s="115"/>
      <c r="S214" s="115"/>
      <c r="T214" s="115"/>
      <c r="U214" s="115"/>
      <c r="V214" s="115"/>
      <c r="W214" s="116"/>
      <c r="X214" s="116"/>
      <c r="Y214" s="117"/>
    </row>
    <row r="215" spans="1:25" ht="21" customHeight="1">
      <c r="A215" s="69"/>
      <c r="B215" s="70"/>
      <c r="C215" s="70"/>
      <c r="D215" s="3"/>
      <c r="E215" s="3"/>
      <c r="F215" s="3"/>
      <c r="G215" s="3"/>
      <c r="H215" s="71" t="s">
        <v>968</v>
      </c>
      <c r="I215" s="72" t="e">
        <v>#N/A</v>
      </c>
      <c r="J215" s="72" t="e">
        <v>#N/A</v>
      </c>
      <c r="K215" s="115"/>
      <c r="L215" s="115"/>
      <c r="M215" s="115"/>
      <c r="N215" s="115"/>
      <c r="O215" s="115"/>
      <c r="P215" s="115"/>
      <c r="Q215" s="115"/>
      <c r="R215" s="115"/>
      <c r="S215" s="115"/>
      <c r="T215" s="115"/>
      <c r="U215" s="115"/>
      <c r="V215" s="115"/>
      <c r="W215" s="116"/>
      <c r="X215" s="116"/>
      <c r="Y215" s="117"/>
    </row>
    <row r="216" spans="1:25" ht="21" customHeight="1">
      <c r="A216" s="69"/>
      <c r="B216" s="70"/>
      <c r="C216" s="70"/>
      <c r="D216" s="3"/>
      <c r="E216" s="3"/>
      <c r="F216" s="3"/>
      <c r="G216" s="3"/>
      <c r="H216" s="71" t="s">
        <v>968</v>
      </c>
      <c r="I216" s="72" t="e">
        <v>#N/A</v>
      </c>
      <c r="J216" s="72" t="e">
        <v>#N/A</v>
      </c>
      <c r="K216" s="115"/>
      <c r="L216" s="115"/>
      <c r="M216" s="115"/>
      <c r="N216" s="115"/>
      <c r="O216" s="115"/>
      <c r="P216" s="115"/>
      <c r="Q216" s="115"/>
      <c r="R216" s="115"/>
      <c r="S216" s="115"/>
      <c r="T216" s="115"/>
      <c r="U216" s="115"/>
      <c r="V216" s="115"/>
      <c r="W216" s="116"/>
      <c r="X216" s="116"/>
      <c r="Y216" s="117"/>
    </row>
    <row r="217" spans="1:25" ht="21" customHeight="1">
      <c r="A217" s="69"/>
      <c r="B217" s="70"/>
      <c r="C217" s="70"/>
      <c r="D217" s="3"/>
      <c r="E217" s="3"/>
      <c r="F217" s="3"/>
      <c r="G217" s="3"/>
      <c r="H217" s="71" t="s">
        <v>968</v>
      </c>
      <c r="I217" s="72" t="e">
        <v>#N/A</v>
      </c>
      <c r="J217" s="72" t="e">
        <v>#N/A</v>
      </c>
      <c r="K217" s="115"/>
      <c r="L217" s="115"/>
      <c r="M217" s="115"/>
      <c r="N217" s="115"/>
      <c r="O217" s="115"/>
      <c r="P217" s="115"/>
      <c r="Q217" s="115"/>
      <c r="R217" s="115"/>
      <c r="S217" s="115"/>
      <c r="T217" s="115"/>
      <c r="U217" s="115"/>
      <c r="V217" s="115"/>
      <c r="W217" s="116"/>
      <c r="X217" s="116"/>
      <c r="Y217" s="117"/>
    </row>
    <row r="218" spans="1:25" ht="21" customHeight="1">
      <c r="A218" s="69"/>
      <c r="B218" s="70"/>
      <c r="C218" s="70"/>
      <c r="D218" s="3"/>
      <c r="E218" s="3"/>
      <c r="F218" s="3"/>
      <c r="G218" s="3"/>
      <c r="H218" s="71" t="s">
        <v>968</v>
      </c>
      <c r="I218" s="72" t="e">
        <v>#N/A</v>
      </c>
      <c r="J218" s="72" t="e">
        <v>#N/A</v>
      </c>
      <c r="K218" s="115"/>
      <c r="L218" s="115"/>
      <c r="M218" s="115"/>
      <c r="N218" s="115"/>
      <c r="O218" s="115"/>
      <c r="P218" s="115"/>
      <c r="Q218" s="115"/>
      <c r="R218" s="115"/>
      <c r="S218" s="115"/>
      <c r="T218" s="115"/>
      <c r="U218" s="115"/>
      <c r="V218" s="115"/>
      <c r="W218" s="116"/>
      <c r="X218" s="116"/>
      <c r="Y218" s="117"/>
    </row>
    <row r="219" spans="1:25" ht="21" customHeight="1">
      <c r="A219" s="69"/>
      <c r="B219" s="70"/>
      <c r="C219" s="70"/>
      <c r="D219" s="3"/>
      <c r="E219" s="3"/>
      <c r="F219" s="3"/>
      <c r="G219" s="3"/>
      <c r="H219" s="71" t="s">
        <v>968</v>
      </c>
      <c r="I219" s="72" t="e">
        <v>#N/A</v>
      </c>
      <c r="J219" s="72" t="e">
        <v>#N/A</v>
      </c>
      <c r="K219" s="115"/>
      <c r="L219" s="115"/>
      <c r="M219" s="115"/>
      <c r="N219" s="115"/>
      <c r="O219" s="115"/>
      <c r="P219" s="115"/>
      <c r="Q219" s="115"/>
      <c r="R219" s="115"/>
      <c r="S219" s="115"/>
      <c r="T219" s="115"/>
      <c r="U219" s="115"/>
      <c r="V219" s="115"/>
      <c r="W219" s="116"/>
      <c r="X219" s="116"/>
      <c r="Y219" s="117"/>
    </row>
    <row r="220" spans="1:25" ht="21" customHeight="1">
      <c r="A220" s="69"/>
      <c r="B220" s="70"/>
      <c r="C220" s="70"/>
      <c r="D220" s="3"/>
      <c r="E220" s="3"/>
      <c r="F220" s="3"/>
      <c r="G220" s="3"/>
      <c r="H220" s="71" t="s">
        <v>968</v>
      </c>
      <c r="I220" s="72" t="e">
        <v>#N/A</v>
      </c>
      <c r="J220" s="72" t="e">
        <v>#N/A</v>
      </c>
      <c r="K220" s="115"/>
      <c r="L220" s="115"/>
      <c r="M220" s="115"/>
      <c r="N220" s="115"/>
      <c r="O220" s="115"/>
      <c r="P220" s="115"/>
      <c r="Q220" s="115"/>
      <c r="R220" s="115"/>
      <c r="S220" s="115"/>
      <c r="T220" s="115"/>
      <c r="U220" s="115"/>
      <c r="V220" s="115"/>
      <c r="W220" s="116"/>
      <c r="X220" s="116"/>
      <c r="Y220" s="117"/>
    </row>
    <row r="221" spans="1:25" ht="21" customHeight="1">
      <c r="A221" s="69"/>
      <c r="B221" s="70"/>
      <c r="C221" s="70"/>
      <c r="D221" s="3"/>
      <c r="E221" s="3"/>
      <c r="F221" s="3"/>
      <c r="G221" s="3"/>
      <c r="H221" s="71" t="s">
        <v>968</v>
      </c>
      <c r="I221" s="72" t="e">
        <v>#N/A</v>
      </c>
      <c r="J221" s="72" t="e">
        <v>#N/A</v>
      </c>
      <c r="K221" s="115"/>
      <c r="L221" s="115"/>
      <c r="M221" s="115"/>
      <c r="N221" s="115"/>
      <c r="O221" s="115"/>
      <c r="P221" s="115"/>
      <c r="Q221" s="115"/>
      <c r="R221" s="115"/>
      <c r="S221" s="115"/>
      <c r="T221" s="115"/>
      <c r="U221" s="115"/>
      <c r="V221" s="115"/>
      <c r="W221" s="116"/>
      <c r="X221" s="116"/>
      <c r="Y221" s="117"/>
    </row>
    <row r="222" spans="1:25" ht="21" customHeight="1">
      <c r="A222" s="69"/>
      <c r="B222" s="70"/>
      <c r="C222" s="70"/>
      <c r="D222" s="3"/>
      <c r="E222" s="3"/>
      <c r="F222" s="3"/>
      <c r="G222" s="3"/>
      <c r="H222" s="71" t="s">
        <v>968</v>
      </c>
      <c r="I222" s="72" t="e">
        <v>#N/A</v>
      </c>
      <c r="J222" s="72" t="e">
        <v>#N/A</v>
      </c>
      <c r="K222" s="115"/>
      <c r="L222" s="115"/>
      <c r="M222" s="115"/>
      <c r="N222" s="115"/>
      <c r="O222" s="115"/>
      <c r="P222" s="115"/>
      <c r="Q222" s="115"/>
      <c r="R222" s="115"/>
      <c r="S222" s="115"/>
      <c r="T222" s="115"/>
      <c r="U222" s="115"/>
      <c r="V222" s="115"/>
      <c r="W222" s="116"/>
      <c r="X222" s="116"/>
      <c r="Y222" s="117"/>
    </row>
    <row r="223" spans="1:25" ht="21" customHeight="1">
      <c r="A223" s="69"/>
      <c r="B223" s="70"/>
      <c r="C223" s="70"/>
      <c r="D223" s="3"/>
      <c r="E223" s="3"/>
      <c r="F223" s="3"/>
      <c r="G223" s="3"/>
      <c r="H223" s="71" t="s">
        <v>968</v>
      </c>
      <c r="I223" s="72" t="e">
        <v>#N/A</v>
      </c>
      <c r="J223" s="72" t="e">
        <v>#N/A</v>
      </c>
      <c r="K223" s="115"/>
      <c r="L223" s="115"/>
      <c r="M223" s="115"/>
      <c r="N223" s="115"/>
      <c r="O223" s="115"/>
      <c r="P223" s="115"/>
      <c r="Q223" s="115"/>
      <c r="R223" s="115"/>
      <c r="S223" s="115"/>
      <c r="T223" s="115"/>
      <c r="U223" s="115"/>
      <c r="V223" s="115"/>
      <c r="W223" s="116"/>
      <c r="X223" s="116"/>
      <c r="Y223" s="117"/>
    </row>
    <row r="224" spans="1:25" ht="21" customHeight="1">
      <c r="A224" s="69"/>
      <c r="B224" s="70"/>
      <c r="C224" s="70"/>
      <c r="D224" s="3"/>
      <c r="E224" s="3"/>
      <c r="F224" s="3"/>
      <c r="G224" s="3"/>
      <c r="H224" s="71" t="s">
        <v>968</v>
      </c>
      <c r="I224" s="72" t="e">
        <v>#N/A</v>
      </c>
      <c r="J224" s="72" t="e">
        <v>#N/A</v>
      </c>
      <c r="K224" s="115"/>
      <c r="L224" s="115"/>
      <c r="M224" s="115"/>
      <c r="N224" s="115"/>
      <c r="O224" s="115"/>
      <c r="P224" s="115"/>
      <c r="Q224" s="115"/>
      <c r="R224" s="115"/>
      <c r="S224" s="115"/>
      <c r="T224" s="115"/>
      <c r="U224" s="115"/>
      <c r="V224" s="115"/>
      <c r="W224" s="116"/>
      <c r="X224" s="116"/>
      <c r="Y224" s="117"/>
    </row>
    <row r="225" spans="1:25" ht="21" customHeight="1">
      <c r="A225" s="69"/>
      <c r="B225" s="70"/>
      <c r="C225" s="70"/>
      <c r="D225" s="3"/>
      <c r="E225" s="3"/>
      <c r="F225" s="3"/>
      <c r="G225" s="3"/>
      <c r="H225" s="71" t="s">
        <v>968</v>
      </c>
      <c r="I225" s="72" t="e">
        <v>#N/A</v>
      </c>
      <c r="J225" s="72" t="e">
        <v>#N/A</v>
      </c>
      <c r="K225" s="115"/>
      <c r="L225" s="115"/>
      <c r="M225" s="115"/>
      <c r="N225" s="115"/>
      <c r="O225" s="115"/>
      <c r="P225" s="115"/>
      <c r="Q225" s="115"/>
      <c r="R225" s="115"/>
      <c r="S225" s="115"/>
      <c r="T225" s="115"/>
      <c r="U225" s="115"/>
      <c r="V225" s="115"/>
      <c r="W225" s="116"/>
      <c r="X225" s="116"/>
      <c r="Y225" s="117"/>
    </row>
    <row r="226" spans="1:25" ht="21" customHeight="1">
      <c r="A226" s="69"/>
      <c r="B226" s="70"/>
      <c r="C226" s="70"/>
      <c r="D226" s="3"/>
      <c r="E226" s="3"/>
      <c r="F226" s="3"/>
      <c r="G226" s="3"/>
      <c r="H226" s="71" t="s">
        <v>968</v>
      </c>
      <c r="I226" s="72" t="e">
        <v>#N/A</v>
      </c>
      <c r="J226" s="72" t="e">
        <v>#N/A</v>
      </c>
      <c r="K226" s="115"/>
      <c r="L226" s="115"/>
      <c r="M226" s="115"/>
      <c r="N226" s="115"/>
      <c r="O226" s="115"/>
      <c r="P226" s="115"/>
      <c r="Q226" s="115"/>
      <c r="R226" s="115"/>
      <c r="S226" s="115"/>
      <c r="T226" s="115"/>
      <c r="U226" s="115"/>
      <c r="V226" s="115"/>
      <c r="W226" s="116"/>
      <c r="X226" s="116"/>
      <c r="Y226" s="117"/>
    </row>
    <row r="227" spans="1:25" ht="21" customHeight="1">
      <c r="A227" s="69"/>
      <c r="B227" s="70"/>
      <c r="C227" s="70"/>
      <c r="D227" s="3"/>
      <c r="E227" s="3"/>
      <c r="F227" s="3"/>
      <c r="G227" s="3"/>
      <c r="H227" s="71" t="s">
        <v>968</v>
      </c>
      <c r="I227" s="72" t="e">
        <v>#N/A</v>
      </c>
      <c r="J227" s="72" t="e">
        <v>#N/A</v>
      </c>
      <c r="K227" s="115"/>
      <c r="L227" s="115"/>
      <c r="M227" s="115"/>
      <c r="N227" s="115"/>
      <c r="O227" s="115"/>
      <c r="P227" s="115"/>
      <c r="Q227" s="115"/>
      <c r="R227" s="115"/>
      <c r="S227" s="115"/>
      <c r="T227" s="115"/>
      <c r="U227" s="115"/>
      <c r="V227" s="115"/>
      <c r="W227" s="116"/>
      <c r="X227" s="116"/>
      <c r="Y227" s="117"/>
    </row>
    <row r="228" spans="1:25" ht="21" customHeight="1">
      <c r="A228" s="69"/>
      <c r="B228" s="70"/>
      <c r="C228" s="70"/>
      <c r="D228" s="3"/>
      <c r="E228" s="3"/>
      <c r="F228" s="3"/>
      <c r="G228" s="3"/>
      <c r="H228" s="71" t="s">
        <v>968</v>
      </c>
      <c r="I228" s="72" t="e">
        <v>#N/A</v>
      </c>
      <c r="J228" s="72" t="e">
        <v>#N/A</v>
      </c>
      <c r="K228" s="115"/>
      <c r="L228" s="115"/>
      <c r="M228" s="115"/>
      <c r="N228" s="115"/>
      <c r="O228" s="115"/>
      <c r="P228" s="115"/>
      <c r="Q228" s="115"/>
      <c r="R228" s="115"/>
      <c r="S228" s="115"/>
      <c r="T228" s="115"/>
      <c r="U228" s="115"/>
      <c r="V228" s="115"/>
      <c r="W228" s="116"/>
      <c r="X228" s="116"/>
      <c r="Y228" s="117"/>
    </row>
    <row r="229" spans="1:25" ht="21" customHeight="1">
      <c r="A229" s="69"/>
      <c r="B229" s="70"/>
      <c r="C229" s="70"/>
      <c r="D229" s="3"/>
      <c r="E229" s="3"/>
      <c r="F229" s="3"/>
      <c r="G229" s="3"/>
      <c r="H229" s="71" t="s">
        <v>968</v>
      </c>
      <c r="I229" s="72" t="e">
        <v>#N/A</v>
      </c>
      <c r="J229" s="72" t="e">
        <v>#N/A</v>
      </c>
      <c r="K229" s="115"/>
      <c r="L229" s="115"/>
      <c r="M229" s="115"/>
      <c r="N229" s="115"/>
      <c r="O229" s="115"/>
      <c r="P229" s="115"/>
      <c r="Q229" s="115"/>
      <c r="R229" s="115"/>
      <c r="S229" s="115"/>
      <c r="T229" s="115"/>
      <c r="U229" s="115"/>
      <c r="V229" s="115"/>
      <c r="W229" s="116"/>
      <c r="X229" s="116"/>
      <c r="Y229" s="117"/>
    </row>
    <row r="230" spans="1:25" ht="21" customHeight="1">
      <c r="A230" s="69"/>
      <c r="B230" s="70"/>
      <c r="C230" s="70"/>
      <c r="D230" s="3"/>
      <c r="E230" s="3"/>
      <c r="F230" s="3"/>
      <c r="G230" s="3"/>
      <c r="H230" s="71" t="s">
        <v>968</v>
      </c>
      <c r="I230" s="72" t="e">
        <v>#N/A</v>
      </c>
      <c r="J230" s="72" t="e">
        <v>#N/A</v>
      </c>
      <c r="K230" s="115"/>
      <c r="L230" s="115"/>
      <c r="M230" s="115"/>
      <c r="N230" s="115"/>
      <c r="O230" s="115"/>
      <c r="P230" s="115"/>
      <c r="Q230" s="115"/>
      <c r="R230" s="115"/>
      <c r="S230" s="115"/>
      <c r="T230" s="115"/>
      <c r="U230" s="115"/>
      <c r="V230" s="115"/>
      <c r="W230" s="116"/>
      <c r="X230" s="116"/>
      <c r="Y230" s="117"/>
    </row>
    <row r="231" spans="1:25" ht="21" customHeight="1">
      <c r="A231" s="69"/>
      <c r="B231" s="70"/>
      <c r="C231" s="70"/>
      <c r="D231" s="3"/>
      <c r="E231" s="3"/>
      <c r="F231" s="3"/>
      <c r="G231" s="3"/>
      <c r="H231" s="71" t="s">
        <v>968</v>
      </c>
      <c r="I231" s="72" t="e">
        <v>#N/A</v>
      </c>
      <c r="J231" s="72" t="e">
        <v>#N/A</v>
      </c>
      <c r="K231" s="115"/>
      <c r="L231" s="115"/>
      <c r="M231" s="115"/>
      <c r="N231" s="115"/>
      <c r="O231" s="115"/>
      <c r="P231" s="115"/>
      <c r="Q231" s="115"/>
      <c r="R231" s="115"/>
      <c r="S231" s="115"/>
      <c r="T231" s="115"/>
      <c r="U231" s="115"/>
      <c r="V231" s="115"/>
      <c r="W231" s="116"/>
      <c r="X231" s="116"/>
      <c r="Y231" s="117"/>
    </row>
    <row r="232" spans="1:25" ht="21" customHeight="1">
      <c r="A232" s="69"/>
      <c r="B232" s="70"/>
      <c r="C232" s="70"/>
      <c r="D232" s="3"/>
      <c r="E232" s="3"/>
      <c r="F232" s="3"/>
      <c r="G232" s="3"/>
      <c r="H232" s="71" t="s">
        <v>968</v>
      </c>
      <c r="I232" s="72" t="e">
        <v>#N/A</v>
      </c>
      <c r="J232" s="72" t="e">
        <v>#N/A</v>
      </c>
      <c r="K232" s="115"/>
      <c r="L232" s="115"/>
      <c r="M232" s="115"/>
      <c r="N232" s="115"/>
      <c r="O232" s="115"/>
      <c r="P232" s="115"/>
      <c r="Q232" s="115"/>
      <c r="R232" s="115"/>
      <c r="S232" s="115"/>
      <c r="T232" s="115"/>
      <c r="U232" s="115"/>
      <c r="V232" s="115"/>
      <c r="W232" s="116"/>
      <c r="X232" s="116"/>
      <c r="Y232" s="117"/>
    </row>
    <row r="233" spans="1:25" ht="21" customHeight="1">
      <c r="A233" s="69"/>
      <c r="B233" s="70"/>
      <c r="C233" s="70"/>
      <c r="D233" s="3"/>
      <c r="E233" s="3"/>
      <c r="F233" s="3"/>
      <c r="G233" s="3"/>
      <c r="H233" s="71" t="s">
        <v>968</v>
      </c>
      <c r="I233" s="72" t="e">
        <v>#N/A</v>
      </c>
      <c r="J233" s="72" t="e">
        <v>#N/A</v>
      </c>
      <c r="K233" s="115"/>
      <c r="L233" s="115"/>
      <c r="M233" s="115"/>
      <c r="N233" s="115"/>
      <c r="O233" s="115"/>
      <c r="P233" s="115"/>
      <c r="Q233" s="115"/>
      <c r="R233" s="115"/>
      <c r="S233" s="115"/>
      <c r="T233" s="115"/>
      <c r="U233" s="115"/>
      <c r="V233" s="115"/>
      <c r="W233" s="116"/>
      <c r="X233" s="116"/>
      <c r="Y233" s="117"/>
    </row>
    <row r="234" spans="1:25" ht="21" customHeight="1">
      <c r="A234" s="69"/>
      <c r="B234" s="70"/>
      <c r="C234" s="70"/>
      <c r="D234" s="3"/>
      <c r="E234" s="3"/>
      <c r="F234" s="3"/>
      <c r="G234" s="3"/>
      <c r="H234" s="71" t="s">
        <v>968</v>
      </c>
      <c r="I234" s="72" t="e">
        <v>#N/A</v>
      </c>
      <c r="J234" s="72" t="e">
        <v>#N/A</v>
      </c>
      <c r="K234" s="115"/>
      <c r="L234" s="115"/>
      <c r="M234" s="115"/>
      <c r="N234" s="115"/>
      <c r="O234" s="115"/>
      <c r="P234" s="115"/>
      <c r="Q234" s="115"/>
      <c r="R234" s="115"/>
      <c r="S234" s="115"/>
      <c r="T234" s="115"/>
      <c r="U234" s="115"/>
      <c r="V234" s="115"/>
      <c r="W234" s="116"/>
      <c r="X234" s="116"/>
      <c r="Y234" s="117"/>
    </row>
    <row r="235" spans="1:25" ht="21" customHeight="1">
      <c r="A235" s="69"/>
      <c r="B235" s="70"/>
      <c r="C235" s="70"/>
      <c r="D235" s="3"/>
      <c r="E235" s="3"/>
      <c r="F235" s="3"/>
      <c r="G235" s="3"/>
      <c r="H235" s="71" t="s">
        <v>968</v>
      </c>
      <c r="I235" s="72" t="e">
        <v>#N/A</v>
      </c>
      <c r="J235" s="72" t="e">
        <v>#N/A</v>
      </c>
      <c r="K235" s="115"/>
      <c r="L235" s="115"/>
      <c r="M235" s="115"/>
      <c r="N235" s="115"/>
      <c r="O235" s="115"/>
      <c r="P235" s="115"/>
      <c r="Q235" s="115"/>
      <c r="R235" s="115"/>
      <c r="S235" s="115"/>
      <c r="T235" s="115"/>
      <c r="U235" s="115"/>
      <c r="V235" s="115"/>
      <c r="W235" s="116"/>
      <c r="X235" s="116"/>
      <c r="Y235" s="117"/>
    </row>
    <row r="236" spans="1:25" ht="21" customHeight="1">
      <c r="A236" s="69"/>
      <c r="B236" s="70"/>
      <c r="C236" s="70"/>
      <c r="D236" s="3"/>
      <c r="E236" s="3"/>
      <c r="F236" s="3"/>
      <c r="G236" s="3"/>
      <c r="H236" s="71" t="s">
        <v>968</v>
      </c>
      <c r="I236" s="72" t="e">
        <v>#N/A</v>
      </c>
      <c r="J236" s="72" t="e">
        <v>#N/A</v>
      </c>
      <c r="K236" s="115"/>
      <c r="L236" s="115"/>
      <c r="M236" s="115"/>
      <c r="N236" s="115"/>
      <c r="O236" s="115"/>
      <c r="P236" s="115"/>
      <c r="Q236" s="115"/>
      <c r="R236" s="115"/>
      <c r="S236" s="115"/>
      <c r="T236" s="115"/>
      <c r="U236" s="115"/>
      <c r="V236" s="115"/>
      <c r="W236" s="116"/>
      <c r="X236" s="116"/>
      <c r="Y236" s="117"/>
    </row>
    <row r="237" spans="1:25" ht="21" customHeight="1">
      <c r="A237" s="69"/>
      <c r="B237" s="70"/>
      <c r="C237" s="70"/>
      <c r="D237" s="3"/>
      <c r="E237" s="3"/>
      <c r="F237" s="3"/>
      <c r="G237" s="3"/>
      <c r="H237" s="71" t="s">
        <v>968</v>
      </c>
      <c r="I237" s="72" t="e">
        <v>#N/A</v>
      </c>
      <c r="J237" s="72" t="e">
        <v>#N/A</v>
      </c>
      <c r="K237" s="115"/>
      <c r="L237" s="115"/>
      <c r="M237" s="115"/>
      <c r="N237" s="115"/>
      <c r="O237" s="115"/>
      <c r="P237" s="115"/>
      <c r="Q237" s="115"/>
      <c r="R237" s="115"/>
      <c r="S237" s="115"/>
      <c r="T237" s="115"/>
      <c r="U237" s="115"/>
      <c r="V237" s="115"/>
      <c r="W237" s="116"/>
      <c r="X237" s="116"/>
      <c r="Y237" s="117"/>
    </row>
    <row r="238" spans="1:25" ht="21" customHeight="1">
      <c r="A238" s="69"/>
      <c r="B238" s="70"/>
      <c r="C238" s="70"/>
      <c r="D238" s="3"/>
      <c r="E238" s="3"/>
      <c r="F238" s="3"/>
      <c r="G238" s="3"/>
      <c r="H238" s="71" t="s">
        <v>968</v>
      </c>
      <c r="I238" s="72" t="e">
        <v>#N/A</v>
      </c>
      <c r="J238" s="72" t="e">
        <v>#N/A</v>
      </c>
      <c r="K238" s="115"/>
      <c r="L238" s="115"/>
      <c r="M238" s="115"/>
      <c r="N238" s="115"/>
      <c r="O238" s="115"/>
      <c r="P238" s="115"/>
      <c r="Q238" s="115"/>
      <c r="R238" s="115"/>
      <c r="S238" s="115"/>
      <c r="T238" s="115"/>
      <c r="U238" s="115"/>
      <c r="V238" s="115"/>
      <c r="W238" s="116"/>
      <c r="X238" s="116"/>
      <c r="Y238" s="117"/>
    </row>
    <row r="239" spans="1:25" ht="21" customHeight="1">
      <c r="A239" s="69"/>
      <c r="B239" s="70"/>
      <c r="C239" s="70"/>
      <c r="D239" s="3"/>
      <c r="E239" s="3"/>
      <c r="F239" s="3"/>
      <c r="G239" s="3"/>
      <c r="H239" s="71" t="s">
        <v>968</v>
      </c>
      <c r="I239" s="72" t="e">
        <v>#N/A</v>
      </c>
      <c r="J239" s="72" t="e">
        <v>#N/A</v>
      </c>
      <c r="K239" s="115"/>
      <c r="L239" s="115"/>
      <c r="M239" s="115"/>
      <c r="N239" s="115"/>
      <c r="O239" s="115"/>
      <c r="P239" s="115"/>
      <c r="Q239" s="115"/>
      <c r="R239" s="115"/>
      <c r="S239" s="115"/>
      <c r="T239" s="115"/>
      <c r="U239" s="115"/>
      <c r="V239" s="115"/>
      <c r="W239" s="116"/>
      <c r="X239" s="116"/>
      <c r="Y239" s="117"/>
    </row>
    <row r="240" spans="1:25" ht="21" customHeight="1">
      <c r="A240" s="69"/>
      <c r="B240" s="70"/>
      <c r="C240" s="70"/>
      <c r="D240" s="3"/>
      <c r="E240" s="3"/>
      <c r="F240" s="3"/>
      <c r="G240" s="3"/>
      <c r="H240" s="71" t="s">
        <v>968</v>
      </c>
      <c r="I240" s="72" t="e">
        <v>#N/A</v>
      </c>
      <c r="J240" s="72" t="e">
        <v>#N/A</v>
      </c>
      <c r="K240" s="115"/>
      <c r="L240" s="115"/>
      <c r="M240" s="115"/>
      <c r="N240" s="115"/>
      <c r="O240" s="115"/>
      <c r="P240" s="115"/>
      <c r="Q240" s="115"/>
      <c r="R240" s="115"/>
      <c r="S240" s="115"/>
      <c r="T240" s="115"/>
      <c r="U240" s="115"/>
      <c r="V240" s="115"/>
      <c r="W240" s="116"/>
      <c r="X240" s="116"/>
      <c r="Y240" s="117"/>
    </row>
    <row r="241" spans="1:25" ht="21" customHeight="1">
      <c r="A241" s="69"/>
      <c r="B241" s="70"/>
      <c r="C241" s="70"/>
      <c r="D241" s="3"/>
      <c r="E241" s="3"/>
      <c r="F241" s="3"/>
      <c r="G241" s="3"/>
      <c r="H241" s="71" t="s">
        <v>968</v>
      </c>
      <c r="I241" s="72" t="e">
        <v>#N/A</v>
      </c>
      <c r="J241" s="72" t="e">
        <v>#N/A</v>
      </c>
      <c r="K241" s="115"/>
      <c r="L241" s="115"/>
      <c r="M241" s="115"/>
      <c r="N241" s="115"/>
      <c r="O241" s="115"/>
      <c r="P241" s="115"/>
      <c r="Q241" s="115"/>
      <c r="R241" s="115"/>
      <c r="S241" s="115"/>
      <c r="T241" s="115"/>
      <c r="U241" s="115"/>
      <c r="V241" s="115"/>
      <c r="W241" s="116"/>
      <c r="X241" s="116"/>
      <c r="Y241" s="117"/>
    </row>
    <row r="242" spans="1:25" ht="21" customHeight="1">
      <c r="A242" s="69"/>
      <c r="B242" s="70"/>
      <c r="C242" s="70"/>
      <c r="D242" s="3"/>
      <c r="E242" s="3"/>
      <c r="F242" s="3"/>
      <c r="G242" s="3"/>
      <c r="H242" s="71" t="s">
        <v>968</v>
      </c>
      <c r="I242" s="72" t="e">
        <v>#N/A</v>
      </c>
      <c r="J242" s="72" t="e">
        <v>#N/A</v>
      </c>
      <c r="K242" s="115"/>
      <c r="L242" s="115"/>
      <c r="M242" s="115"/>
      <c r="N242" s="115"/>
      <c r="O242" s="115"/>
      <c r="P242" s="115"/>
      <c r="Q242" s="115"/>
      <c r="R242" s="115"/>
      <c r="S242" s="115"/>
      <c r="T242" s="115"/>
      <c r="U242" s="115"/>
      <c r="V242" s="115"/>
      <c r="W242" s="116"/>
      <c r="X242" s="116"/>
      <c r="Y242" s="117"/>
    </row>
    <row r="243" spans="1:25" ht="21" customHeight="1">
      <c r="A243" s="69"/>
      <c r="B243" s="70"/>
      <c r="C243" s="70"/>
      <c r="D243" s="3"/>
      <c r="E243" s="3"/>
      <c r="F243" s="3"/>
      <c r="G243" s="3"/>
      <c r="H243" s="71" t="s">
        <v>968</v>
      </c>
      <c r="I243" s="72" t="e">
        <v>#N/A</v>
      </c>
      <c r="J243" s="72" t="e">
        <v>#N/A</v>
      </c>
      <c r="K243" s="115"/>
      <c r="L243" s="115"/>
      <c r="M243" s="115"/>
      <c r="N243" s="115"/>
      <c r="O243" s="115"/>
      <c r="P243" s="115"/>
      <c r="Q243" s="115"/>
      <c r="R243" s="115"/>
      <c r="S243" s="115"/>
      <c r="T243" s="115"/>
      <c r="U243" s="115"/>
      <c r="V243" s="115"/>
      <c r="W243" s="116"/>
      <c r="X243" s="116"/>
      <c r="Y243" s="117"/>
    </row>
    <row r="244" spans="1:25" ht="21" customHeight="1">
      <c r="A244" s="69"/>
      <c r="B244" s="70"/>
      <c r="C244" s="70"/>
      <c r="D244" s="3"/>
      <c r="E244" s="3"/>
      <c r="F244" s="3"/>
      <c r="G244" s="3"/>
      <c r="H244" s="71" t="s">
        <v>968</v>
      </c>
      <c r="I244" s="72" t="e">
        <v>#N/A</v>
      </c>
      <c r="J244" s="72" t="e">
        <v>#N/A</v>
      </c>
      <c r="K244" s="115"/>
      <c r="L244" s="115"/>
      <c r="M244" s="115"/>
      <c r="N244" s="115"/>
      <c r="O244" s="115"/>
      <c r="P244" s="115"/>
      <c r="Q244" s="115"/>
      <c r="R244" s="115"/>
      <c r="S244" s="115"/>
      <c r="T244" s="115"/>
      <c r="U244" s="115"/>
      <c r="V244" s="115"/>
      <c r="W244" s="116"/>
      <c r="X244" s="116"/>
      <c r="Y244" s="117"/>
    </row>
    <row r="245" spans="1:25" ht="21" customHeight="1">
      <c r="A245" s="69"/>
      <c r="B245" s="70"/>
      <c r="C245" s="70"/>
      <c r="D245" s="3"/>
      <c r="E245" s="3"/>
      <c r="F245" s="3"/>
      <c r="G245" s="3"/>
      <c r="H245" s="71" t="s">
        <v>968</v>
      </c>
      <c r="I245" s="72" t="e">
        <v>#N/A</v>
      </c>
      <c r="J245" s="72" t="e">
        <v>#N/A</v>
      </c>
      <c r="K245" s="115"/>
      <c r="L245" s="115"/>
      <c r="M245" s="115"/>
      <c r="N245" s="115"/>
      <c r="O245" s="115"/>
      <c r="P245" s="115"/>
      <c r="Q245" s="115"/>
      <c r="R245" s="115"/>
      <c r="S245" s="115"/>
      <c r="T245" s="115"/>
      <c r="U245" s="115"/>
      <c r="V245" s="115"/>
      <c r="W245" s="116"/>
      <c r="X245" s="116"/>
      <c r="Y245" s="117"/>
    </row>
    <row r="246" spans="1:25" ht="21" customHeight="1">
      <c r="A246" s="69"/>
      <c r="B246" s="70"/>
      <c r="C246" s="70"/>
      <c r="D246" s="3"/>
      <c r="E246" s="3"/>
      <c r="F246" s="3"/>
      <c r="G246" s="3"/>
      <c r="H246" s="71" t="s">
        <v>968</v>
      </c>
      <c r="I246" s="72" t="e">
        <v>#N/A</v>
      </c>
      <c r="J246" s="72" t="e">
        <v>#N/A</v>
      </c>
      <c r="K246" s="115"/>
      <c r="L246" s="115"/>
      <c r="M246" s="115"/>
      <c r="N246" s="115"/>
      <c r="O246" s="115"/>
      <c r="P246" s="115"/>
      <c r="Q246" s="115"/>
      <c r="R246" s="115"/>
      <c r="S246" s="115"/>
      <c r="T246" s="115"/>
      <c r="U246" s="115"/>
      <c r="V246" s="115"/>
      <c r="W246" s="116"/>
      <c r="X246" s="116"/>
      <c r="Y246" s="117"/>
    </row>
    <row r="247" spans="1:25" ht="21" customHeight="1">
      <c r="A247" s="69"/>
      <c r="B247" s="70"/>
      <c r="C247" s="70"/>
      <c r="D247" s="3"/>
      <c r="E247" s="3"/>
      <c r="F247" s="3"/>
      <c r="G247" s="3"/>
      <c r="H247" s="71" t="s">
        <v>968</v>
      </c>
      <c r="I247" s="72" t="e">
        <v>#N/A</v>
      </c>
      <c r="J247" s="72" t="e">
        <v>#N/A</v>
      </c>
      <c r="K247" s="115"/>
      <c r="L247" s="115"/>
      <c r="M247" s="115"/>
      <c r="N247" s="115"/>
      <c r="O247" s="115"/>
      <c r="P247" s="115"/>
      <c r="Q247" s="115"/>
      <c r="R247" s="115"/>
      <c r="S247" s="115"/>
      <c r="T247" s="115"/>
      <c r="U247" s="115"/>
      <c r="V247" s="115"/>
      <c r="W247" s="116"/>
      <c r="X247" s="116"/>
      <c r="Y247" s="117"/>
    </row>
    <row r="248" spans="1:25" ht="21" customHeight="1">
      <c r="A248" s="69"/>
      <c r="B248" s="70"/>
      <c r="C248" s="70"/>
      <c r="D248" s="3"/>
      <c r="E248" s="3"/>
      <c r="F248" s="3"/>
      <c r="G248" s="3"/>
      <c r="H248" s="71" t="s">
        <v>968</v>
      </c>
      <c r="I248" s="72" t="e">
        <v>#N/A</v>
      </c>
      <c r="J248" s="72" t="e">
        <v>#N/A</v>
      </c>
      <c r="K248" s="115"/>
      <c r="L248" s="115"/>
      <c r="M248" s="115"/>
      <c r="N248" s="115"/>
      <c r="O248" s="115"/>
      <c r="P248" s="115"/>
      <c r="Q248" s="115"/>
      <c r="R248" s="115"/>
      <c r="S248" s="115"/>
      <c r="T248" s="115"/>
      <c r="U248" s="115"/>
      <c r="V248" s="115"/>
      <c r="W248" s="116"/>
      <c r="X248" s="116"/>
      <c r="Y248" s="117"/>
    </row>
    <row r="249" spans="1:25" ht="21" customHeight="1">
      <c r="A249" s="69"/>
      <c r="B249" s="70"/>
      <c r="C249" s="70"/>
      <c r="D249" s="3"/>
      <c r="E249" s="3"/>
      <c r="F249" s="3"/>
      <c r="G249" s="3"/>
      <c r="H249" s="71" t="s">
        <v>968</v>
      </c>
      <c r="I249" s="72" t="e">
        <v>#N/A</v>
      </c>
      <c r="J249" s="72" t="e">
        <v>#N/A</v>
      </c>
      <c r="K249" s="115"/>
      <c r="L249" s="115"/>
      <c r="M249" s="115"/>
      <c r="N249" s="115"/>
      <c r="O249" s="115"/>
      <c r="P249" s="115"/>
      <c r="Q249" s="115"/>
      <c r="R249" s="115"/>
      <c r="S249" s="115"/>
      <c r="T249" s="115"/>
      <c r="U249" s="115"/>
      <c r="V249" s="115"/>
      <c r="W249" s="116"/>
      <c r="X249" s="116"/>
      <c r="Y249" s="117"/>
    </row>
    <row r="250" spans="1:25" ht="21" customHeight="1">
      <c r="A250" s="69"/>
      <c r="B250" s="70"/>
      <c r="C250" s="70"/>
      <c r="D250" s="3"/>
      <c r="E250" s="3"/>
      <c r="F250" s="3"/>
      <c r="G250" s="3"/>
      <c r="H250" s="71" t="s">
        <v>968</v>
      </c>
      <c r="I250" s="72" t="e">
        <v>#N/A</v>
      </c>
      <c r="J250" s="72" t="e">
        <v>#N/A</v>
      </c>
      <c r="K250" s="115"/>
      <c r="L250" s="115"/>
      <c r="M250" s="115"/>
      <c r="N250" s="115"/>
      <c r="O250" s="115"/>
      <c r="P250" s="115"/>
      <c r="Q250" s="115"/>
      <c r="R250" s="115"/>
      <c r="S250" s="115"/>
      <c r="T250" s="115"/>
      <c r="U250" s="115"/>
      <c r="V250" s="115"/>
      <c r="W250" s="116"/>
      <c r="X250" s="116"/>
      <c r="Y250" s="117"/>
    </row>
    <row r="251" spans="1:25" ht="21" customHeight="1">
      <c r="A251" s="69"/>
      <c r="B251" s="70"/>
      <c r="C251" s="70"/>
      <c r="D251" s="3"/>
      <c r="E251" s="3"/>
      <c r="F251" s="3"/>
      <c r="G251" s="3"/>
      <c r="H251" s="71" t="s">
        <v>968</v>
      </c>
      <c r="I251" s="72" t="e">
        <v>#N/A</v>
      </c>
      <c r="J251" s="72" t="e">
        <v>#N/A</v>
      </c>
      <c r="K251" s="115"/>
      <c r="L251" s="115"/>
      <c r="M251" s="115"/>
      <c r="N251" s="115"/>
      <c r="O251" s="115"/>
      <c r="P251" s="115"/>
      <c r="Q251" s="115"/>
      <c r="R251" s="115"/>
      <c r="S251" s="115"/>
      <c r="T251" s="115"/>
      <c r="U251" s="115"/>
      <c r="V251" s="115"/>
      <c r="W251" s="116"/>
      <c r="X251" s="116"/>
      <c r="Y251" s="117"/>
    </row>
    <row r="252" spans="1:25" ht="21" customHeight="1">
      <c r="A252" s="69"/>
      <c r="B252" s="70"/>
      <c r="C252" s="70"/>
      <c r="D252" s="3"/>
      <c r="E252" s="3"/>
      <c r="F252" s="3"/>
      <c r="G252" s="3"/>
      <c r="H252" s="71" t="s">
        <v>968</v>
      </c>
      <c r="I252" s="72" t="e">
        <v>#N/A</v>
      </c>
      <c r="J252" s="72" t="e">
        <v>#N/A</v>
      </c>
      <c r="K252" s="115"/>
      <c r="L252" s="115"/>
      <c r="M252" s="115"/>
      <c r="N252" s="115"/>
      <c r="O252" s="115"/>
      <c r="P252" s="115"/>
      <c r="Q252" s="115"/>
      <c r="R252" s="115"/>
      <c r="S252" s="115"/>
      <c r="T252" s="115"/>
      <c r="U252" s="115"/>
      <c r="V252" s="115"/>
      <c r="W252" s="116"/>
      <c r="X252" s="116"/>
      <c r="Y252" s="117"/>
    </row>
  </sheetData>
  <conditionalFormatting sqref="N7:R10 H7:J10">
    <cfRule type="cellIs" dxfId="6" priority="1" stopIfTrue="1" operator="equal">
      <formula>#REF!</formula>
    </cfRule>
  </conditionalFormatting>
  <dataValidations count="2">
    <dataValidation type="list" allowBlank="1" showInputMessage="1" showErrorMessage="1" sqref="B11:C252" xr:uid="{3C4AA459-3BB4-4623-B3DA-82A1080AE76C}">
      <formula1>OFFSET(INDIRECT("'"&amp;B$5&amp;"'!$A$1",TRUE),10,0,50000,1)</formula1>
    </dataValidation>
    <dataValidation type="whole" allowBlank="1" showInputMessage="1" showErrorMessage="1" sqref="K43:K47 M43:M47 L11:L21 L36:L252" xr:uid="{283F5ED7-386E-4C1E-8DB3-319F0E011FCB}">
      <formula1>0</formula1>
      <formula2>9999</formula2>
    </dataValidation>
  </dataValidations>
  <printOptions horizontalCentered="1"/>
  <pageMargins left="0.59055118110236227" right="0.59055118110236227" top="0.59055118110236227" bottom="0.59055118110236227" header="0.31496062992125984" footer="0.31496062992125984"/>
  <pageSetup paperSize="9" scale="16" orientation="portrait" horizontalDpi="1200" verticalDpi="1200" r:id="rId1"/>
  <headerFooter alignWithMargins="0">
    <oddFooter>&amp;L&amp;6[&amp;F]&amp;A &amp;R&amp;6&amp;D  &amp;T</oddFooter>
  </headerFooter>
  <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F50"/>
  <sheetViews>
    <sheetView showGridLines="0" zoomScale="80" zoomScaleNormal="80" workbookViewId="0">
      <pane xSplit="1" ySplit="10" topLeftCell="B11" activePane="bottomRight" state="frozen"/>
      <selection activeCell="C24" sqref="C24"/>
      <selection pane="topRight" activeCell="C24" sqref="C24"/>
      <selection pane="bottomLeft" activeCell="C24" sqref="C24"/>
      <selection pane="bottomRight" activeCell="B11" sqref="B11"/>
    </sheetView>
  </sheetViews>
  <sheetFormatPr baseColWidth="10" defaultColWidth="31.7109375" defaultRowHeight="10.199999999999999" outlineLevelRow="1"/>
  <cols>
    <col min="1" max="1" width="50" style="84" customWidth="1"/>
    <col min="2" max="2" width="16.7109375" style="84" customWidth="1"/>
    <col min="3" max="3" width="12.42578125" style="93" customWidth="1"/>
    <col min="4" max="5" width="12.42578125" style="84" customWidth="1"/>
    <col min="6" max="8" width="9.28515625" style="14" customWidth="1"/>
    <col min="9" max="9" width="10.5703125" style="14" customWidth="1"/>
    <col min="10" max="15" width="10.5703125" style="84" customWidth="1"/>
    <col min="16" max="17" width="57.140625" style="84" customWidth="1"/>
    <col min="18" max="24" width="15.85546875" style="84" customWidth="1"/>
    <col min="25" max="26" width="57.140625" style="84" customWidth="1"/>
    <col min="27" max="28" width="15.85546875" style="84" customWidth="1"/>
    <col min="29" max="29" width="35.7109375" style="84" customWidth="1"/>
    <col min="30" max="16384" width="31.7109375" style="84"/>
  </cols>
  <sheetData>
    <row r="1" spans="1:32" s="78" customFormat="1" ht="51">
      <c r="A1" s="75" t="s">
        <v>304</v>
      </c>
      <c r="B1" s="75" t="s">
        <v>13</v>
      </c>
      <c r="C1" s="75" t="s">
        <v>15</v>
      </c>
      <c r="D1" s="75" t="s">
        <v>370</v>
      </c>
      <c r="E1" s="75" t="s">
        <v>371</v>
      </c>
      <c r="F1" s="76" t="s">
        <v>25</v>
      </c>
      <c r="G1" s="76" t="s">
        <v>26</v>
      </c>
      <c r="H1" s="77" t="s">
        <v>27</v>
      </c>
      <c r="I1" s="76" t="s">
        <v>137</v>
      </c>
      <c r="J1" s="75" t="s">
        <v>138</v>
      </c>
      <c r="K1" s="75" t="s">
        <v>139</v>
      </c>
      <c r="L1" s="75" t="s">
        <v>151</v>
      </c>
      <c r="M1" s="75" t="s">
        <v>152</v>
      </c>
      <c r="N1" s="75" t="s">
        <v>140</v>
      </c>
      <c r="O1" s="75" t="s">
        <v>141</v>
      </c>
      <c r="P1" s="75" t="s">
        <v>287</v>
      </c>
      <c r="Q1" s="75" t="s">
        <v>288</v>
      </c>
      <c r="R1" s="75" t="s">
        <v>142</v>
      </c>
      <c r="S1" s="75" t="s">
        <v>143</v>
      </c>
      <c r="T1" s="75" t="s">
        <v>144</v>
      </c>
      <c r="U1" s="75" t="s">
        <v>153</v>
      </c>
      <c r="V1" s="75" t="s">
        <v>154</v>
      </c>
      <c r="W1" s="75" t="s">
        <v>145</v>
      </c>
      <c r="X1" s="75" t="s">
        <v>146</v>
      </c>
      <c r="Y1" s="75" t="s">
        <v>292</v>
      </c>
      <c r="Z1" s="75" t="s">
        <v>969</v>
      </c>
      <c r="AA1" s="75" t="s">
        <v>36</v>
      </c>
      <c r="AB1" s="75" t="s">
        <v>37</v>
      </c>
      <c r="AC1" s="75" t="s">
        <v>38</v>
      </c>
      <c r="AD1" s="118"/>
      <c r="AE1" s="118"/>
      <c r="AF1" s="118"/>
    </row>
    <row r="2" spans="1:32" s="79" customFormat="1" ht="52.5" customHeight="1">
      <c r="A2" s="57" t="s">
        <v>279</v>
      </c>
      <c r="B2" s="57" t="s">
        <v>314</v>
      </c>
      <c r="C2" s="57" t="s">
        <v>315</v>
      </c>
      <c r="D2" s="57"/>
      <c r="E2" s="57" t="s">
        <v>317</v>
      </c>
      <c r="F2" s="58" t="s">
        <v>319</v>
      </c>
      <c r="G2" s="58" t="s">
        <v>319</v>
      </c>
      <c r="H2" s="59" t="s">
        <v>320</v>
      </c>
      <c r="I2" s="58" t="s">
        <v>290</v>
      </c>
      <c r="J2" s="57" t="s">
        <v>290</v>
      </c>
      <c r="K2" s="57" t="s">
        <v>290</v>
      </c>
      <c r="L2" s="57" t="s">
        <v>290</v>
      </c>
      <c r="M2" s="57" t="s">
        <v>290</v>
      </c>
      <c r="N2" s="57" t="s">
        <v>290</v>
      </c>
      <c r="O2" s="57" t="s">
        <v>290</v>
      </c>
      <c r="P2" s="57" t="s">
        <v>160</v>
      </c>
      <c r="Q2" s="57" t="s">
        <v>275</v>
      </c>
      <c r="R2" s="57" t="s">
        <v>291</v>
      </c>
      <c r="S2" s="57" t="s">
        <v>291</v>
      </c>
      <c r="T2" s="57" t="s">
        <v>291</v>
      </c>
      <c r="U2" s="57" t="s">
        <v>291</v>
      </c>
      <c r="V2" s="57" t="s">
        <v>291</v>
      </c>
      <c r="W2" s="57" t="s">
        <v>291</v>
      </c>
      <c r="X2" s="57" t="s">
        <v>291</v>
      </c>
      <c r="Y2" s="57" t="s">
        <v>160</v>
      </c>
      <c r="Z2" s="57" t="s">
        <v>275</v>
      </c>
      <c r="AA2" s="57" t="s">
        <v>271</v>
      </c>
      <c r="AB2" s="57" t="s">
        <v>272</v>
      </c>
      <c r="AC2" s="57" t="s">
        <v>273</v>
      </c>
      <c r="AD2" s="14"/>
      <c r="AE2" s="14"/>
      <c r="AF2" s="14"/>
    </row>
    <row r="3" spans="1:32" s="79" customFormat="1" ht="60" customHeight="1">
      <c r="A3" s="57"/>
      <c r="B3" s="57"/>
      <c r="C3" s="57"/>
      <c r="D3" s="57" t="s">
        <v>327</v>
      </c>
      <c r="E3" s="57" t="s">
        <v>328</v>
      </c>
      <c r="F3" s="58"/>
      <c r="G3" s="58"/>
      <c r="H3" s="59"/>
      <c r="I3" s="58" t="s">
        <v>280</v>
      </c>
      <c r="J3" s="57" t="s">
        <v>281</v>
      </c>
      <c r="K3" s="57" t="s">
        <v>282</v>
      </c>
      <c r="L3" s="57" t="s">
        <v>283</v>
      </c>
      <c r="M3" s="57" t="s">
        <v>284</v>
      </c>
      <c r="N3" s="57" t="s">
        <v>285</v>
      </c>
      <c r="O3" s="57" t="s">
        <v>286</v>
      </c>
      <c r="P3" s="57"/>
      <c r="Q3" s="57"/>
      <c r="R3" s="57" t="s">
        <v>280</v>
      </c>
      <c r="S3" s="57" t="s">
        <v>281</v>
      </c>
      <c r="T3" s="57" t="s">
        <v>282</v>
      </c>
      <c r="U3" s="57" t="s">
        <v>283</v>
      </c>
      <c r="V3" s="57" t="s">
        <v>284</v>
      </c>
      <c r="W3" s="57" t="s">
        <v>285</v>
      </c>
      <c r="X3" s="57" t="s">
        <v>286</v>
      </c>
      <c r="Y3" s="57"/>
      <c r="Z3" s="57"/>
      <c r="AA3" s="57"/>
      <c r="AB3" s="57"/>
      <c r="AC3" s="57" t="s">
        <v>274</v>
      </c>
      <c r="AD3" s="14"/>
      <c r="AE3" s="14"/>
      <c r="AF3" s="14"/>
    </row>
    <row r="4" spans="1:32" s="79" customFormat="1" ht="51">
      <c r="A4" s="57" t="s">
        <v>970</v>
      </c>
      <c r="B4" s="57"/>
      <c r="C4" s="57"/>
      <c r="D4" s="57"/>
      <c r="E4" s="57"/>
      <c r="F4" s="58"/>
      <c r="G4" s="58"/>
      <c r="H4" s="59"/>
      <c r="I4" s="58" t="s">
        <v>42</v>
      </c>
      <c r="J4" s="57" t="s">
        <v>42</v>
      </c>
      <c r="K4" s="57" t="s">
        <v>42</v>
      </c>
      <c r="L4" s="57" t="s">
        <v>42</v>
      </c>
      <c r="M4" s="57" t="s">
        <v>42</v>
      </c>
      <c r="N4" s="57" t="s">
        <v>42</v>
      </c>
      <c r="O4" s="57" t="s">
        <v>42</v>
      </c>
      <c r="P4" s="57"/>
      <c r="Q4" s="57"/>
      <c r="R4" s="57" t="s">
        <v>45</v>
      </c>
      <c r="S4" s="57" t="s">
        <v>45</v>
      </c>
      <c r="T4" s="57" t="s">
        <v>45</v>
      </c>
      <c r="U4" s="57" t="s">
        <v>45</v>
      </c>
      <c r="V4" s="57" t="s">
        <v>45</v>
      </c>
      <c r="W4" s="57" t="s">
        <v>45</v>
      </c>
      <c r="X4" s="57" t="s">
        <v>45</v>
      </c>
      <c r="Y4" s="57"/>
      <c r="Z4" s="57"/>
      <c r="AA4" s="57"/>
      <c r="AB4" s="57"/>
      <c r="AC4" s="57"/>
      <c r="AD4" s="14"/>
      <c r="AE4" s="14"/>
      <c r="AF4" s="14"/>
    </row>
    <row r="5" spans="1:32" s="80" customFormat="1" ht="30.6">
      <c r="A5" s="60"/>
      <c r="B5" s="60" t="s">
        <v>335</v>
      </c>
      <c r="C5" s="60" t="s">
        <v>336</v>
      </c>
      <c r="D5" s="60"/>
      <c r="E5" s="60"/>
      <c r="F5" s="61"/>
      <c r="G5" s="61" t="s">
        <v>337</v>
      </c>
      <c r="H5" s="62" t="s">
        <v>338</v>
      </c>
      <c r="I5" s="61"/>
      <c r="J5" s="60"/>
      <c r="K5" s="60"/>
      <c r="L5" s="61"/>
      <c r="M5" s="60"/>
      <c r="N5" s="60"/>
      <c r="O5" s="60"/>
      <c r="P5" s="60"/>
      <c r="Q5" s="60"/>
      <c r="R5" s="60"/>
      <c r="S5" s="60"/>
      <c r="T5" s="60"/>
      <c r="U5" s="60"/>
      <c r="V5" s="60"/>
      <c r="W5" s="60"/>
      <c r="X5" s="60"/>
      <c r="Y5" s="60"/>
      <c r="Z5" s="60"/>
      <c r="AA5" s="60"/>
      <c r="AB5" s="60"/>
      <c r="AC5" s="60"/>
      <c r="AD5" s="14"/>
      <c r="AE5" s="14"/>
      <c r="AF5" s="14"/>
    </row>
    <row r="6" spans="1:32" s="81" customFormat="1" collapsed="1">
      <c r="A6" s="63" t="s">
        <v>95</v>
      </c>
      <c r="B6" s="63" t="s">
        <v>95</v>
      </c>
      <c r="C6" s="63" t="s">
        <v>95</v>
      </c>
      <c r="D6" s="63" t="s">
        <v>95</v>
      </c>
      <c r="E6" s="63" t="s">
        <v>96</v>
      </c>
      <c r="F6" s="63" t="s">
        <v>95</v>
      </c>
      <c r="G6" s="63" t="s">
        <v>96</v>
      </c>
      <c r="H6" s="64" t="s">
        <v>96</v>
      </c>
      <c r="I6" s="63" t="s">
        <v>98</v>
      </c>
      <c r="J6" s="63" t="s">
        <v>98</v>
      </c>
      <c r="K6" s="63" t="s">
        <v>98</v>
      </c>
      <c r="L6" s="63" t="s">
        <v>98</v>
      </c>
      <c r="M6" s="63" t="s">
        <v>98</v>
      </c>
      <c r="N6" s="63" t="s">
        <v>98</v>
      </c>
      <c r="O6" s="63" t="s">
        <v>98</v>
      </c>
      <c r="P6" s="63" t="s">
        <v>97</v>
      </c>
      <c r="Q6" s="63" t="s">
        <v>97</v>
      </c>
      <c r="R6" s="63" t="s">
        <v>98</v>
      </c>
      <c r="S6" s="63" t="s">
        <v>98</v>
      </c>
      <c r="T6" s="63" t="s">
        <v>98</v>
      </c>
      <c r="U6" s="63" t="s">
        <v>98</v>
      </c>
      <c r="V6" s="63" t="s">
        <v>98</v>
      </c>
      <c r="W6" s="63" t="s">
        <v>98</v>
      </c>
      <c r="X6" s="63" t="s">
        <v>98</v>
      </c>
      <c r="Y6" s="63" t="s">
        <v>97</v>
      </c>
      <c r="Z6" s="63" t="s">
        <v>97</v>
      </c>
      <c r="AA6" s="63" t="s">
        <v>217</v>
      </c>
      <c r="AB6" s="63" t="s">
        <v>217</v>
      </c>
      <c r="AC6" s="63" t="s">
        <v>97</v>
      </c>
      <c r="AD6" s="14"/>
      <c r="AE6" s="14"/>
      <c r="AF6" s="14"/>
    </row>
    <row r="7" spans="1:32" s="81" customFormat="1" ht="30.6" hidden="1" outlineLevel="1">
      <c r="A7" s="66"/>
      <c r="B7" s="66"/>
      <c r="C7" s="66"/>
      <c r="D7" s="66"/>
      <c r="E7" s="66"/>
      <c r="F7" s="67"/>
      <c r="G7" s="67" t="s">
        <v>25</v>
      </c>
      <c r="H7" s="67" t="s">
        <v>25</v>
      </c>
      <c r="I7" s="67"/>
      <c r="J7" s="66"/>
      <c r="K7" s="66"/>
      <c r="L7" s="67"/>
      <c r="M7" s="66"/>
      <c r="N7" s="66"/>
      <c r="O7" s="66"/>
      <c r="P7" s="66"/>
      <c r="Q7" s="66"/>
      <c r="R7" s="66"/>
      <c r="S7" s="66"/>
      <c r="T7" s="66"/>
      <c r="U7" s="66"/>
      <c r="V7" s="66"/>
      <c r="W7" s="66"/>
      <c r="X7" s="66"/>
      <c r="Y7" s="66"/>
      <c r="Z7" s="66"/>
      <c r="AA7" s="66"/>
      <c r="AB7" s="66"/>
      <c r="AC7" s="66"/>
      <c r="AD7" s="14"/>
      <c r="AE7" s="14"/>
      <c r="AF7" s="14"/>
    </row>
    <row r="8" spans="1:32" s="81" customFormat="1" hidden="1" outlineLevel="1">
      <c r="A8" s="68"/>
      <c r="B8" s="68"/>
      <c r="C8" s="68"/>
      <c r="D8" s="68"/>
      <c r="E8" s="68"/>
      <c r="F8" s="67"/>
      <c r="G8" s="67">
        <v>6</v>
      </c>
      <c r="H8" s="67">
        <v>6</v>
      </c>
      <c r="I8" s="67"/>
      <c r="J8" s="68"/>
      <c r="K8" s="68"/>
      <c r="L8" s="67"/>
      <c r="M8" s="68"/>
      <c r="N8" s="68"/>
      <c r="O8" s="68"/>
      <c r="P8" s="68"/>
      <c r="Q8" s="68"/>
      <c r="R8" s="68"/>
      <c r="S8" s="68"/>
      <c r="T8" s="68"/>
      <c r="U8" s="68"/>
      <c r="V8" s="68"/>
      <c r="W8" s="68"/>
      <c r="X8" s="68"/>
      <c r="Y8" s="68"/>
      <c r="Z8" s="68"/>
      <c r="AA8" s="68"/>
      <c r="AB8" s="68"/>
      <c r="AC8" s="68"/>
      <c r="AD8" s="14"/>
      <c r="AE8" s="14"/>
      <c r="AF8" s="14"/>
    </row>
    <row r="9" spans="1:32" s="81" customFormat="1" ht="40.799999999999997" hidden="1" outlineLevel="1">
      <c r="A9" s="68"/>
      <c r="B9" s="68"/>
      <c r="C9" s="68"/>
      <c r="D9" s="68"/>
      <c r="E9" s="68"/>
      <c r="F9" s="67"/>
      <c r="G9" s="67" t="s">
        <v>26</v>
      </c>
      <c r="H9" s="67" t="s">
        <v>27</v>
      </c>
      <c r="I9" s="82"/>
      <c r="J9" s="68"/>
      <c r="K9" s="68"/>
      <c r="L9" s="67"/>
      <c r="M9" s="68"/>
      <c r="N9" s="68"/>
      <c r="O9" s="68"/>
      <c r="P9" s="68"/>
      <c r="Q9" s="68"/>
      <c r="R9" s="68"/>
      <c r="S9" s="68"/>
      <c r="T9" s="68"/>
      <c r="U9" s="68"/>
      <c r="V9" s="68"/>
      <c r="W9" s="68"/>
      <c r="X9" s="68"/>
      <c r="Y9" s="68"/>
      <c r="Z9" s="68"/>
      <c r="AA9" s="68"/>
      <c r="AB9" s="68"/>
      <c r="AC9" s="68"/>
      <c r="AD9" s="14"/>
      <c r="AE9" s="14"/>
      <c r="AF9" s="14"/>
    </row>
    <row r="10" spans="1:32" s="81" customFormat="1" hidden="1" outlineLevel="1">
      <c r="A10" s="68"/>
      <c r="B10" s="68"/>
      <c r="C10" s="68"/>
      <c r="D10" s="68"/>
      <c r="E10" s="68"/>
      <c r="F10" s="67"/>
      <c r="G10" s="67">
        <v>8</v>
      </c>
      <c r="H10" s="67">
        <v>9</v>
      </c>
      <c r="I10" s="83"/>
      <c r="J10" s="68"/>
      <c r="K10" s="68"/>
      <c r="L10" s="67"/>
      <c r="M10" s="68"/>
      <c r="N10" s="68"/>
      <c r="O10" s="68"/>
      <c r="P10" s="68"/>
      <c r="Q10" s="68"/>
      <c r="R10" s="68"/>
      <c r="S10" s="68"/>
      <c r="T10" s="68"/>
      <c r="U10" s="68"/>
      <c r="V10" s="68"/>
      <c r="W10" s="68"/>
      <c r="X10" s="68"/>
      <c r="Y10" s="68"/>
      <c r="Z10" s="68"/>
      <c r="AA10" s="68"/>
      <c r="AB10" s="68"/>
      <c r="AC10" s="68"/>
      <c r="AD10" s="14"/>
      <c r="AE10" s="14"/>
      <c r="AF10" s="14"/>
    </row>
    <row r="11" spans="1:32" ht="20.399999999999999">
      <c r="A11" s="69" t="s">
        <v>748</v>
      </c>
      <c r="B11" s="70" t="s">
        <v>339</v>
      </c>
      <c r="C11" s="70" t="s">
        <v>340</v>
      </c>
      <c r="D11" s="3" t="s">
        <v>18</v>
      </c>
      <c r="E11" s="3">
        <v>1</v>
      </c>
      <c r="F11" s="71" t="s">
        <v>749</v>
      </c>
      <c r="G11" s="72">
        <v>0</v>
      </c>
      <c r="H11" s="72">
        <v>1920</v>
      </c>
      <c r="I11" s="117">
        <v>1</v>
      </c>
      <c r="J11" s="117">
        <v>1</v>
      </c>
      <c r="K11" s="117">
        <v>1</v>
      </c>
      <c r="L11" s="117">
        <v>1</v>
      </c>
      <c r="M11" s="117">
        <v>0.5</v>
      </c>
      <c r="N11" s="117">
        <v>1</v>
      </c>
      <c r="O11" s="117">
        <v>1</v>
      </c>
      <c r="P11" s="117" t="s">
        <v>289</v>
      </c>
      <c r="Q11" s="117" t="s">
        <v>101</v>
      </c>
      <c r="R11" s="117">
        <v>6.5000000000000002E-2</v>
      </c>
      <c r="S11" s="117">
        <v>0.05</v>
      </c>
      <c r="T11" s="117">
        <v>0.05</v>
      </c>
      <c r="U11" s="117">
        <v>0.05</v>
      </c>
      <c r="V11" s="117">
        <v>0.05</v>
      </c>
      <c r="W11" s="117">
        <v>0.05</v>
      </c>
      <c r="X11" s="117">
        <v>0.05</v>
      </c>
      <c r="Y11" s="117" t="s">
        <v>293</v>
      </c>
      <c r="Z11" s="117" t="s">
        <v>101</v>
      </c>
      <c r="AA11" s="94">
        <v>43978</v>
      </c>
      <c r="AB11" s="94"/>
      <c r="AC11" s="117"/>
    </row>
    <row r="12" spans="1:32" ht="20.399999999999999">
      <c r="A12" s="69" t="s">
        <v>762</v>
      </c>
      <c r="B12" s="70" t="s">
        <v>341</v>
      </c>
      <c r="C12" s="70" t="s">
        <v>16</v>
      </c>
      <c r="D12" s="3" t="s">
        <v>342</v>
      </c>
      <c r="E12" s="3">
        <v>1</v>
      </c>
      <c r="F12" s="71" t="s">
        <v>750</v>
      </c>
      <c r="G12" s="72">
        <v>0</v>
      </c>
      <c r="H12" s="72">
        <v>1859</v>
      </c>
      <c r="I12" s="117">
        <v>1</v>
      </c>
      <c r="J12" s="117">
        <v>1</v>
      </c>
      <c r="K12" s="117">
        <v>1</v>
      </c>
      <c r="L12" s="117">
        <v>1</v>
      </c>
      <c r="M12" s="117">
        <v>0.5</v>
      </c>
      <c r="N12" s="117">
        <v>1</v>
      </c>
      <c r="O12" s="117">
        <v>1</v>
      </c>
      <c r="P12" s="117" t="s">
        <v>289</v>
      </c>
      <c r="Q12" s="117" t="s">
        <v>101</v>
      </c>
      <c r="R12" s="117">
        <v>6.5000000000000002E-2</v>
      </c>
      <c r="S12" s="117">
        <v>0.05</v>
      </c>
      <c r="T12" s="117">
        <v>0.05</v>
      </c>
      <c r="U12" s="117">
        <v>0.05</v>
      </c>
      <c r="V12" s="117">
        <v>0.05</v>
      </c>
      <c r="W12" s="117">
        <v>0.05</v>
      </c>
      <c r="X12" s="117">
        <v>0.05</v>
      </c>
      <c r="Y12" s="117" t="s">
        <v>293</v>
      </c>
      <c r="Z12" s="117" t="s">
        <v>101</v>
      </c>
      <c r="AA12" s="94">
        <v>43978</v>
      </c>
      <c r="AB12" s="94"/>
      <c r="AC12" s="117"/>
    </row>
    <row r="13" spans="1:32" ht="20.399999999999999">
      <c r="A13" s="69" t="s">
        <v>763</v>
      </c>
      <c r="B13" s="70" t="s">
        <v>341</v>
      </c>
      <c r="C13" s="70" t="s">
        <v>16</v>
      </c>
      <c r="D13" s="3" t="s">
        <v>342</v>
      </c>
      <c r="E13" s="3">
        <v>2</v>
      </c>
      <c r="F13" s="71" t="s">
        <v>751</v>
      </c>
      <c r="G13" s="72">
        <v>1860</v>
      </c>
      <c r="H13" s="72">
        <v>1918</v>
      </c>
      <c r="I13" s="117">
        <v>1</v>
      </c>
      <c r="J13" s="117">
        <v>1</v>
      </c>
      <c r="K13" s="117">
        <v>1</v>
      </c>
      <c r="L13" s="117">
        <v>1</v>
      </c>
      <c r="M13" s="117">
        <v>0.5</v>
      </c>
      <c r="N13" s="117">
        <v>1</v>
      </c>
      <c r="O13" s="117">
        <v>1</v>
      </c>
      <c r="P13" s="117" t="s">
        <v>289</v>
      </c>
      <c r="Q13" s="117" t="s">
        <v>101</v>
      </c>
      <c r="R13" s="117">
        <v>6.5000000000000002E-2</v>
      </c>
      <c r="S13" s="117">
        <v>0.05</v>
      </c>
      <c r="T13" s="117">
        <v>0.05</v>
      </c>
      <c r="U13" s="117">
        <v>0.05</v>
      </c>
      <c r="V13" s="117">
        <v>0.05</v>
      </c>
      <c r="W13" s="117">
        <v>0.05</v>
      </c>
      <c r="X13" s="117">
        <v>0.05</v>
      </c>
      <c r="Y13" s="117" t="s">
        <v>293</v>
      </c>
      <c r="Z13" s="117" t="s">
        <v>101</v>
      </c>
      <c r="AA13" s="94">
        <v>43978</v>
      </c>
      <c r="AB13" s="94"/>
      <c r="AC13" s="117"/>
    </row>
    <row r="14" spans="1:32" ht="20.399999999999999">
      <c r="A14" s="69" t="s">
        <v>764</v>
      </c>
      <c r="B14" s="70" t="s">
        <v>341</v>
      </c>
      <c r="C14" s="70" t="s">
        <v>16</v>
      </c>
      <c r="D14" s="3" t="s">
        <v>342</v>
      </c>
      <c r="E14" s="3">
        <v>3</v>
      </c>
      <c r="F14" s="71" t="s">
        <v>752</v>
      </c>
      <c r="G14" s="72">
        <v>1919</v>
      </c>
      <c r="H14" s="72">
        <v>1948</v>
      </c>
      <c r="I14" s="117">
        <v>1</v>
      </c>
      <c r="J14" s="117">
        <v>1</v>
      </c>
      <c r="K14" s="117">
        <v>1</v>
      </c>
      <c r="L14" s="117">
        <v>1</v>
      </c>
      <c r="M14" s="117">
        <v>0.5</v>
      </c>
      <c r="N14" s="117">
        <v>1</v>
      </c>
      <c r="O14" s="117">
        <v>1</v>
      </c>
      <c r="P14" s="117" t="s">
        <v>289</v>
      </c>
      <c r="Q14" s="117" t="s">
        <v>101</v>
      </c>
      <c r="R14" s="117">
        <v>6.5000000000000002E-2</v>
      </c>
      <c r="S14" s="117">
        <v>0.05</v>
      </c>
      <c r="T14" s="117">
        <v>0.05</v>
      </c>
      <c r="U14" s="117">
        <v>0.05</v>
      </c>
      <c r="V14" s="117">
        <v>0.05</v>
      </c>
      <c r="W14" s="117">
        <v>0.05</v>
      </c>
      <c r="X14" s="117">
        <v>0.05</v>
      </c>
      <c r="Y14" s="117" t="s">
        <v>293</v>
      </c>
      <c r="Z14" s="117" t="s">
        <v>101</v>
      </c>
      <c r="AA14" s="94">
        <v>43978</v>
      </c>
      <c r="AB14" s="94"/>
      <c r="AC14" s="117"/>
    </row>
    <row r="15" spans="1:32" ht="20.399999999999999">
      <c r="A15" s="69" t="s">
        <v>765</v>
      </c>
      <c r="B15" s="70" t="s">
        <v>341</v>
      </c>
      <c r="C15" s="70" t="s">
        <v>16</v>
      </c>
      <c r="D15" s="3" t="s">
        <v>342</v>
      </c>
      <c r="E15" s="3">
        <v>4</v>
      </c>
      <c r="F15" s="71" t="s">
        <v>753</v>
      </c>
      <c r="G15" s="72">
        <v>1949</v>
      </c>
      <c r="H15" s="72">
        <v>1957</v>
      </c>
      <c r="I15" s="117">
        <v>1</v>
      </c>
      <c r="J15" s="117">
        <v>1</v>
      </c>
      <c r="K15" s="117">
        <v>1</v>
      </c>
      <c r="L15" s="117">
        <v>1</v>
      </c>
      <c r="M15" s="117">
        <v>0.5</v>
      </c>
      <c r="N15" s="117">
        <v>1</v>
      </c>
      <c r="O15" s="117">
        <v>1</v>
      </c>
      <c r="P15" s="117" t="s">
        <v>289</v>
      </c>
      <c r="Q15" s="117" t="s">
        <v>101</v>
      </c>
      <c r="R15" s="117">
        <v>6.5000000000000002E-2</v>
      </c>
      <c r="S15" s="117">
        <v>0.05</v>
      </c>
      <c r="T15" s="117">
        <v>0.05</v>
      </c>
      <c r="U15" s="117">
        <v>0.05</v>
      </c>
      <c r="V15" s="117">
        <v>0.05</v>
      </c>
      <c r="W15" s="117">
        <v>0.05</v>
      </c>
      <c r="X15" s="117">
        <v>0.05</v>
      </c>
      <c r="Y15" s="117" t="s">
        <v>293</v>
      </c>
      <c r="Z15" s="117" t="s">
        <v>101</v>
      </c>
      <c r="AA15" s="94">
        <v>43978</v>
      </c>
      <c r="AB15" s="94"/>
      <c r="AC15" s="117"/>
    </row>
    <row r="16" spans="1:32" ht="20.399999999999999">
      <c r="A16" s="69" t="s">
        <v>766</v>
      </c>
      <c r="B16" s="70" t="s">
        <v>341</v>
      </c>
      <c r="C16" s="70" t="s">
        <v>16</v>
      </c>
      <c r="D16" s="3" t="s">
        <v>342</v>
      </c>
      <c r="E16" s="3">
        <v>5</v>
      </c>
      <c r="F16" s="71" t="s">
        <v>754</v>
      </c>
      <c r="G16" s="72">
        <v>1958</v>
      </c>
      <c r="H16" s="72">
        <v>1968</v>
      </c>
      <c r="I16" s="117">
        <v>1</v>
      </c>
      <c r="J16" s="117">
        <v>1</v>
      </c>
      <c r="K16" s="117">
        <v>1</v>
      </c>
      <c r="L16" s="117">
        <v>1</v>
      </c>
      <c r="M16" s="117">
        <v>0.5</v>
      </c>
      <c r="N16" s="117">
        <v>1</v>
      </c>
      <c r="O16" s="117">
        <v>1</v>
      </c>
      <c r="P16" s="117" t="s">
        <v>289</v>
      </c>
      <c r="Q16" s="117" t="s">
        <v>101</v>
      </c>
      <c r="R16" s="117">
        <v>6.5000000000000002E-2</v>
      </c>
      <c r="S16" s="117">
        <v>0.05</v>
      </c>
      <c r="T16" s="117">
        <v>0.05</v>
      </c>
      <c r="U16" s="117">
        <v>0.05</v>
      </c>
      <c r="V16" s="117">
        <v>0.05</v>
      </c>
      <c r="W16" s="117">
        <v>0.05</v>
      </c>
      <c r="X16" s="117">
        <v>0.05</v>
      </c>
      <c r="Y16" s="117" t="s">
        <v>293</v>
      </c>
      <c r="Z16" s="117" t="s">
        <v>101</v>
      </c>
      <c r="AA16" s="94">
        <v>43978</v>
      </c>
      <c r="AB16" s="94"/>
      <c r="AC16" s="117"/>
    </row>
    <row r="17" spans="1:29" ht="20.399999999999999">
      <c r="A17" s="69" t="s">
        <v>767</v>
      </c>
      <c r="B17" s="70" t="s">
        <v>341</v>
      </c>
      <c r="C17" s="70" t="s">
        <v>16</v>
      </c>
      <c r="D17" s="3" t="s">
        <v>342</v>
      </c>
      <c r="E17" s="3">
        <v>6</v>
      </c>
      <c r="F17" s="71" t="s">
        <v>755</v>
      </c>
      <c r="G17" s="72">
        <v>1969</v>
      </c>
      <c r="H17" s="72">
        <v>1978</v>
      </c>
      <c r="I17" s="117">
        <v>5</v>
      </c>
      <c r="J17" s="117">
        <v>4</v>
      </c>
      <c r="K17" s="117">
        <v>4</v>
      </c>
      <c r="L17" s="117">
        <v>2</v>
      </c>
      <c r="M17" s="117">
        <v>1</v>
      </c>
      <c r="N17" s="117">
        <v>1</v>
      </c>
      <c r="O17" s="117">
        <v>1</v>
      </c>
      <c r="P17" s="117" t="s">
        <v>289</v>
      </c>
      <c r="Q17" s="117" t="s">
        <v>101</v>
      </c>
      <c r="R17" s="117">
        <v>0.06</v>
      </c>
      <c r="S17" s="117">
        <v>4.4999999999999998E-2</v>
      </c>
      <c r="T17" s="117">
        <v>4.4999999999999998E-2</v>
      </c>
      <c r="U17" s="117">
        <v>4.4999999999999998E-2</v>
      </c>
      <c r="V17" s="117">
        <v>4.4999999999999998E-2</v>
      </c>
      <c r="W17" s="117">
        <v>4.4999999999999998E-2</v>
      </c>
      <c r="X17" s="117">
        <v>4.4999999999999998E-2</v>
      </c>
      <c r="Y17" s="117" t="s">
        <v>293</v>
      </c>
      <c r="Z17" s="117" t="s">
        <v>101</v>
      </c>
      <c r="AA17" s="94">
        <v>43978</v>
      </c>
      <c r="AB17" s="94"/>
      <c r="AC17" s="117"/>
    </row>
    <row r="18" spans="1:29" ht="20.399999999999999">
      <c r="A18" s="69" t="s">
        <v>768</v>
      </c>
      <c r="B18" s="70" t="s">
        <v>341</v>
      </c>
      <c r="C18" s="70" t="s">
        <v>16</v>
      </c>
      <c r="D18" s="3" t="s">
        <v>342</v>
      </c>
      <c r="E18" s="3">
        <v>7</v>
      </c>
      <c r="F18" s="71" t="s">
        <v>756</v>
      </c>
      <c r="G18" s="72">
        <v>1979</v>
      </c>
      <c r="H18" s="72">
        <v>1983</v>
      </c>
      <c r="I18" s="117">
        <v>8</v>
      </c>
      <c r="J18" s="117">
        <v>6</v>
      </c>
      <c r="K18" s="117">
        <v>6</v>
      </c>
      <c r="L18" s="117">
        <v>3</v>
      </c>
      <c r="M18" s="117">
        <v>1.5</v>
      </c>
      <c r="N18" s="117">
        <v>2</v>
      </c>
      <c r="O18" s="117">
        <v>2</v>
      </c>
      <c r="P18" s="117" t="s">
        <v>289</v>
      </c>
      <c r="Q18" s="117" t="s">
        <v>101</v>
      </c>
      <c r="R18" s="117">
        <v>0.06</v>
      </c>
      <c r="S18" s="117">
        <v>4.4999999999999998E-2</v>
      </c>
      <c r="T18" s="117">
        <v>4.4999999999999998E-2</v>
      </c>
      <c r="U18" s="117">
        <v>4.4999999999999998E-2</v>
      </c>
      <c r="V18" s="117">
        <v>4.4999999999999998E-2</v>
      </c>
      <c r="W18" s="117">
        <v>4.4999999999999998E-2</v>
      </c>
      <c r="X18" s="117">
        <v>4.4999999999999998E-2</v>
      </c>
      <c r="Y18" s="117" t="s">
        <v>293</v>
      </c>
      <c r="Z18" s="117" t="s">
        <v>101</v>
      </c>
      <c r="AA18" s="94">
        <v>43978</v>
      </c>
      <c r="AB18" s="94"/>
      <c r="AC18" s="117"/>
    </row>
    <row r="19" spans="1:29" ht="20.399999999999999">
      <c r="A19" s="69" t="s">
        <v>769</v>
      </c>
      <c r="B19" s="70" t="s">
        <v>341</v>
      </c>
      <c r="C19" s="70" t="s">
        <v>16</v>
      </c>
      <c r="D19" s="3" t="s">
        <v>342</v>
      </c>
      <c r="E19" s="3">
        <v>8</v>
      </c>
      <c r="F19" s="71" t="s">
        <v>757</v>
      </c>
      <c r="G19" s="72">
        <v>1984</v>
      </c>
      <c r="H19" s="72">
        <v>1994</v>
      </c>
      <c r="I19" s="117">
        <v>10</v>
      </c>
      <c r="J19" s="117">
        <v>9</v>
      </c>
      <c r="K19" s="117">
        <v>9</v>
      </c>
      <c r="L19" s="117">
        <v>5</v>
      </c>
      <c r="M19" s="117">
        <v>2.5</v>
      </c>
      <c r="N19" s="117">
        <v>4</v>
      </c>
      <c r="O19" s="117">
        <v>4</v>
      </c>
      <c r="P19" s="117" t="s">
        <v>289</v>
      </c>
      <c r="Q19" s="117" t="s">
        <v>101</v>
      </c>
      <c r="R19" s="117">
        <v>5.5E-2</v>
      </c>
      <c r="S19" s="117">
        <v>3.5000000000000003E-2</v>
      </c>
      <c r="T19" s="117">
        <v>0.04</v>
      </c>
      <c r="U19" s="117">
        <v>0.04</v>
      </c>
      <c r="V19" s="117">
        <v>0.04</v>
      </c>
      <c r="W19" s="117">
        <v>0.04</v>
      </c>
      <c r="X19" s="117">
        <v>3.5000000000000003E-2</v>
      </c>
      <c r="Y19" s="117" t="s">
        <v>293</v>
      </c>
      <c r="Z19" s="117" t="s">
        <v>101</v>
      </c>
      <c r="AA19" s="94">
        <v>43978</v>
      </c>
      <c r="AB19" s="94"/>
      <c r="AC19" s="117"/>
    </row>
    <row r="20" spans="1:29" ht="20.399999999999999">
      <c r="A20" s="69" t="s">
        <v>770</v>
      </c>
      <c r="B20" s="70" t="s">
        <v>341</v>
      </c>
      <c r="C20" s="70" t="s">
        <v>16</v>
      </c>
      <c r="D20" s="3" t="s">
        <v>342</v>
      </c>
      <c r="E20" s="3">
        <v>9</v>
      </c>
      <c r="F20" s="71" t="s">
        <v>758</v>
      </c>
      <c r="G20" s="72">
        <v>1995</v>
      </c>
      <c r="H20" s="72">
        <v>2001</v>
      </c>
      <c r="I20" s="117">
        <v>12</v>
      </c>
      <c r="J20" s="117">
        <v>12</v>
      </c>
      <c r="K20" s="117">
        <v>12</v>
      </c>
      <c r="L20" s="117">
        <v>8</v>
      </c>
      <c r="M20" s="117">
        <v>4</v>
      </c>
      <c r="N20" s="117">
        <v>7</v>
      </c>
      <c r="O20" s="117">
        <v>7</v>
      </c>
      <c r="P20" s="117" t="s">
        <v>289</v>
      </c>
      <c r="Q20" s="117" t="s">
        <v>101</v>
      </c>
      <c r="R20" s="117">
        <v>5.5E-2</v>
      </c>
      <c r="S20" s="117">
        <v>3.5000000000000003E-2</v>
      </c>
      <c r="T20" s="117">
        <v>0.04</v>
      </c>
      <c r="U20" s="117">
        <v>0.04</v>
      </c>
      <c r="V20" s="117">
        <v>0.04</v>
      </c>
      <c r="W20" s="117">
        <v>0.04</v>
      </c>
      <c r="X20" s="117">
        <v>3.5000000000000003E-2</v>
      </c>
      <c r="Y20" s="117" t="s">
        <v>293</v>
      </c>
      <c r="Z20" s="117" t="s">
        <v>101</v>
      </c>
      <c r="AA20" s="94">
        <v>43978</v>
      </c>
      <c r="AB20" s="94"/>
      <c r="AC20" s="117"/>
    </row>
    <row r="21" spans="1:29" ht="20.399999999999999">
      <c r="A21" s="69" t="s">
        <v>771</v>
      </c>
      <c r="B21" s="70" t="s">
        <v>341</v>
      </c>
      <c r="C21" s="70" t="s">
        <v>16</v>
      </c>
      <c r="D21" s="3" t="s">
        <v>342</v>
      </c>
      <c r="E21" s="3">
        <v>10</v>
      </c>
      <c r="F21" s="71" t="s">
        <v>759</v>
      </c>
      <c r="G21" s="72">
        <v>2002</v>
      </c>
      <c r="H21" s="72">
        <v>2009</v>
      </c>
      <c r="I21" s="117">
        <v>14</v>
      </c>
      <c r="J21" s="117">
        <v>13</v>
      </c>
      <c r="K21" s="117">
        <v>13</v>
      </c>
      <c r="L21" s="117">
        <v>10</v>
      </c>
      <c r="M21" s="117">
        <v>5</v>
      </c>
      <c r="N21" s="117">
        <v>8</v>
      </c>
      <c r="O21" s="117">
        <v>8</v>
      </c>
      <c r="P21" s="117" t="s">
        <v>372</v>
      </c>
      <c r="Q21" s="117" t="s">
        <v>373</v>
      </c>
      <c r="R21" s="117">
        <v>4.5000000000000005E-2</v>
      </c>
      <c r="S21" s="117">
        <v>0.03</v>
      </c>
      <c r="T21" s="117">
        <v>3.5000000000000003E-2</v>
      </c>
      <c r="U21" s="117">
        <v>3.5000000000000003E-2</v>
      </c>
      <c r="V21" s="117">
        <v>3.5000000000000003E-2</v>
      </c>
      <c r="W21" s="117">
        <v>3.5000000000000003E-2</v>
      </c>
      <c r="X21" s="117">
        <v>0.03</v>
      </c>
      <c r="Y21" s="117" t="s">
        <v>293</v>
      </c>
      <c r="Z21" s="117" t="s">
        <v>101</v>
      </c>
      <c r="AA21" s="94">
        <v>43978</v>
      </c>
      <c r="AB21" s="94"/>
      <c r="AC21" s="117"/>
    </row>
    <row r="22" spans="1:29" ht="20.399999999999999">
      <c r="A22" s="69" t="s">
        <v>772</v>
      </c>
      <c r="B22" s="70" t="s">
        <v>341</v>
      </c>
      <c r="C22" s="70" t="s">
        <v>16</v>
      </c>
      <c r="D22" s="3" t="s">
        <v>342</v>
      </c>
      <c r="E22" s="3">
        <v>11</v>
      </c>
      <c r="F22" s="71" t="s">
        <v>760</v>
      </c>
      <c r="G22" s="72">
        <v>2010</v>
      </c>
      <c r="H22" s="72">
        <v>2015</v>
      </c>
      <c r="I22" s="117">
        <v>15</v>
      </c>
      <c r="J22" s="117">
        <v>14</v>
      </c>
      <c r="K22" s="117">
        <v>14</v>
      </c>
      <c r="L22" s="117">
        <v>12</v>
      </c>
      <c r="M22" s="117">
        <v>6</v>
      </c>
      <c r="N22" s="117">
        <v>8</v>
      </c>
      <c r="O22" s="117">
        <v>8</v>
      </c>
      <c r="P22" s="117" t="s">
        <v>372</v>
      </c>
      <c r="Q22" s="117" t="s">
        <v>373</v>
      </c>
      <c r="R22" s="117">
        <v>4.5000000000000005E-2</v>
      </c>
      <c r="S22" s="117">
        <v>0.03</v>
      </c>
      <c r="T22" s="117">
        <v>3.5000000000000003E-2</v>
      </c>
      <c r="U22" s="117">
        <v>3.5000000000000003E-2</v>
      </c>
      <c r="V22" s="117">
        <v>3.5000000000000003E-2</v>
      </c>
      <c r="W22" s="117">
        <v>3.5000000000000003E-2</v>
      </c>
      <c r="X22" s="117">
        <v>0.03</v>
      </c>
      <c r="Y22" s="117" t="s">
        <v>293</v>
      </c>
      <c r="Z22" s="117" t="s">
        <v>101</v>
      </c>
      <c r="AA22" s="94">
        <v>43978</v>
      </c>
      <c r="AB22" s="94"/>
      <c r="AC22" s="117"/>
    </row>
    <row r="23" spans="1:29" ht="20.399999999999999">
      <c r="A23" s="69" t="s">
        <v>773</v>
      </c>
      <c r="B23" s="70" t="s">
        <v>341</v>
      </c>
      <c r="C23" s="70" t="s">
        <v>16</v>
      </c>
      <c r="D23" s="3" t="s">
        <v>342</v>
      </c>
      <c r="E23" s="3">
        <v>12</v>
      </c>
      <c r="F23" s="71" t="s">
        <v>761</v>
      </c>
      <c r="G23" s="72">
        <v>2016</v>
      </c>
      <c r="H23" s="72">
        <v>9999</v>
      </c>
      <c r="I23" s="117">
        <v>18</v>
      </c>
      <c r="J23" s="117">
        <v>15</v>
      </c>
      <c r="K23" s="117">
        <v>15</v>
      </c>
      <c r="L23" s="117">
        <v>12</v>
      </c>
      <c r="M23" s="117">
        <v>6</v>
      </c>
      <c r="N23" s="117">
        <v>10</v>
      </c>
      <c r="O23" s="117">
        <v>10</v>
      </c>
      <c r="P23" s="117" t="s">
        <v>372</v>
      </c>
      <c r="Q23" s="117" t="s">
        <v>373</v>
      </c>
      <c r="R23" s="117">
        <v>4.5000000000000005E-2</v>
      </c>
      <c r="S23" s="117">
        <v>0.03</v>
      </c>
      <c r="T23" s="117">
        <v>3.5000000000000003E-2</v>
      </c>
      <c r="U23" s="117">
        <v>3.5000000000000003E-2</v>
      </c>
      <c r="V23" s="117">
        <v>3.5000000000000003E-2</v>
      </c>
      <c r="W23" s="117">
        <v>3.5000000000000003E-2</v>
      </c>
      <c r="X23" s="117">
        <v>0.03</v>
      </c>
      <c r="Y23" s="117" t="s">
        <v>293</v>
      </c>
      <c r="Z23" s="117" t="s">
        <v>101</v>
      </c>
      <c r="AA23" s="94">
        <v>43978</v>
      </c>
      <c r="AB23" s="94"/>
      <c r="AC23" s="117"/>
    </row>
    <row r="24" spans="1:29">
      <c r="A24" s="69"/>
      <c r="B24" s="70"/>
      <c r="C24" s="70"/>
      <c r="D24" s="3"/>
      <c r="E24" s="3"/>
      <c r="F24" s="71" t="s">
        <v>968</v>
      </c>
      <c r="G24" s="72" t="e">
        <v>#N/A</v>
      </c>
      <c r="H24" s="72" t="e">
        <v>#N/A</v>
      </c>
      <c r="I24" s="117"/>
      <c r="J24" s="117"/>
      <c r="K24" s="117"/>
      <c r="L24" s="117"/>
      <c r="M24" s="117"/>
      <c r="N24" s="117"/>
      <c r="O24" s="117"/>
      <c r="P24" s="117"/>
      <c r="Q24" s="117"/>
      <c r="R24" s="117"/>
      <c r="S24" s="117"/>
      <c r="T24" s="117"/>
      <c r="U24" s="117"/>
      <c r="V24" s="117"/>
      <c r="W24" s="117"/>
      <c r="X24" s="117"/>
      <c r="Y24" s="117"/>
      <c r="Z24" s="117"/>
      <c r="AA24" s="94"/>
      <c r="AB24" s="94"/>
      <c r="AC24" s="117"/>
    </row>
    <row r="25" spans="1:29">
      <c r="A25" s="69"/>
      <c r="B25" s="70"/>
      <c r="C25" s="70"/>
      <c r="D25" s="3"/>
      <c r="E25" s="3"/>
      <c r="F25" s="71" t="s">
        <v>968</v>
      </c>
      <c r="G25" s="72" t="e">
        <v>#N/A</v>
      </c>
      <c r="H25" s="72" t="e">
        <v>#N/A</v>
      </c>
      <c r="I25" s="117"/>
      <c r="J25" s="117"/>
      <c r="K25" s="117"/>
      <c r="L25" s="117"/>
      <c r="M25" s="117"/>
      <c r="N25" s="117"/>
      <c r="O25" s="117"/>
      <c r="P25" s="117"/>
      <c r="Q25" s="117"/>
      <c r="R25" s="117"/>
      <c r="S25" s="117"/>
      <c r="T25" s="117"/>
      <c r="U25" s="117"/>
      <c r="V25" s="117"/>
      <c r="W25" s="117"/>
      <c r="X25" s="117"/>
      <c r="Y25" s="117"/>
      <c r="Z25" s="117"/>
      <c r="AA25" s="94"/>
      <c r="AB25" s="94"/>
      <c r="AC25" s="117"/>
    </row>
    <row r="26" spans="1:29">
      <c r="A26" s="69"/>
      <c r="B26" s="70"/>
      <c r="C26" s="70"/>
      <c r="D26" s="3"/>
      <c r="E26" s="3"/>
      <c r="F26" s="71" t="s">
        <v>968</v>
      </c>
      <c r="G26" s="72" t="e">
        <v>#N/A</v>
      </c>
      <c r="H26" s="72" t="e">
        <v>#N/A</v>
      </c>
      <c r="I26" s="117"/>
      <c r="J26" s="117"/>
      <c r="K26" s="117"/>
      <c r="L26" s="117"/>
      <c r="M26" s="117"/>
      <c r="N26" s="117"/>
      <c r="O26" s="117"/>
      <c r="P26" s="117"/>
      <c r="Q26" s="117"/>
      <c r="R26" s="117"/>
      <c r="S26" s="117"/>
      <c r="T26" s="117"/>
      <c r="U26" s="117"/>
      <c r="V26" s="117"/>
      <c r="W26" s="117"/>
      <c r="X26" s="117"/>
      <c r="Y26" s="117"/>
      <c r="Z26" s="117"/>
      <c r="AA26" s="94"/>
      <c r="AB26" s="94"/>
      <c r="AC26" s="117"/>
    </row>
    <row r="27" spans="1:29">
      <c r="A27" s="69"/>
      <c r="B27" s="70"/>
      <c r="C27" s="70"/>
      <c r="D27" s="3"/>
      <c r="E27" s="3"/>
      <c r="F27" s="71" t="s">
        <v>968</v>
      </c>
      <c r="G27" s="72" t="e">
        <v>#N/A</v>
      </c>
      <c r="H27" s="72" t="e">
        <v>#N/A</v>
      </c>
      <c r="I27" s="117"/>
      <c r="J27" s="117"/>
      <c r="K27" s="117"/>
      <c r="L27" s="117"/>
      <c r="M27" s="117"/>
      <c r="N27" s="117"/>
      <c r="O27" s="117"/>
      <c r="P27" s="117"/>
      <c r="Q27" s="117"/>
      <c r="R27" s="117"/>
      <c r="S27" s="117"/>
      <c r="T27" s="117"/>
      <c r="U27" s="117"/>
      <c r="V27" s="117"/>
      <c r="W27" s="117"/>
      <c r="X27" s="117"/>
      <c r="Y27" s="117"/>
      <c r="Z27" s="117"/>
      <c r="AA27" s="94"/>
      <c r="AB27" s="94"/>
      <c r="AC27" s="117"/>
    </row>
    <row r="28" spans="1:29">
      <c r="A28" s="69"/>
      <c r="B28" s="70"/>
      <c r="C28" s="70"/>
      <c r="D28" s="3"/>
      <c r="E28" s="3"/>
      <c r="F28" s="71" t="s">
        <v>968</v>
      </c>
      <c r="G28" s="72" t="e">
        <v>#N/A</v>
      </c>
      <c r="H28" s="72" t="e">
        <v>#N/A</v>
      </c>
      <c r="I28" s="117"/>
      <c r="J28" s="117"/>
      <c r="K28" s="117"/>
      <c r="L28" s="117"/>
      <c r="M28" s="117"/>
      <c r="N28" s="117"/>
      <c r="O28" s="117"/>
      <c r="P28" s="117"/>
      <c r="Q28" s="117"/>
      <c r="R28" s="117"/>
      <c r="S28" s="117"/>
      <c r="T28" s="117"/>
      <c r="U28" s="117"/>
      <c r="V28" s="117"/>
      <c r="W28" s="117"/>
      <c r="X28" s="117"/>
      <c r="Y28" s="117"/>
      <c r="Z28" s="117"/>
      <c r="AA28" s="94"/>
      <c r="AB28" s="94"/>
      <c r="AC28" s="117"/>
    </row>
    <row r="29" spans="1:29">
      <c r="A29" s="69"/>
      <c r="B29" s="70"/>
      <c r="C29" s="70"/>
      <c r="D29" s="3"/>
      <c r="E29" s="3"/>
      <c r="F29" s="71" t="s">
        <v>968</v>
      </c>
      <c r="G29" s="72" t="e">
        <v>#N/A</v>
      </c>
      <c r="H29" s="72" t="e">
        <v>#N/A</v>
      </c>
      <c r="I29" s="117"/>
      <c r="J29" s="117"/>
      <c r="K29" s="117"/>
      <c r="L29" s="117"/>
      <c r="M29" s="117"/>
      <c r="N29" s="117"/>
      <c r="O29" s="117"/>
      <c r="P29" s="117"/>
      <c r="Q29" s="117"/>
      <c r="R29" s="117"/>
      <c r="S29" s="117"/>
      <c r="T29" s="117"/>
      <c r="U29" s="117"/>
      <c r="V29" s="117"/>
      <c r="W29" s="117"/>
      <c r="X29" s="117"/>
      <c r="Y29" s="117"/>
      <c r="Z29" s="117"/>
      <c r="AA29" s="94"/>
      <c r="AB29" s="94"/>
      <c r="AC29" s="117"/>
    </row>
    <row r="30" spans="1:29">
      <c r="A30" s="69"/>
      <c r="B30" s="70"/>
      <c r="C30" s="70"/>
      <c r="D30" s="3"/>
      <c r="E30" s="3"/>
      <c r="F30" s="71" t="s">
        <v>968</v>
      </c>
      <c r="G30" s="72" t="e">
        <v>#N/A</v>
      </c>
      <c r="H30" s="72" t="e">
        <v>#N/A</v>
      </c>
      <c r="I30" s="117"/>
      <c r="J30" s="117"/>
      <c r="K30" s="117"/>
      <c r="L30" s="117"/>
      <c r="M30" s="117"/>
      <c r="N30" s="117"/>
      <c r="O30" s="117"/>
      <c r="P30" s="117"/>
      <c r="Q30" s="117"/>
      <c r="R30" s="117"/>
      <c r="S30" s="117"/>
      <c r="T30" s="117"/>
      <c r="U30" s="117"/>
      <c r="V30" s="117"/>
      <c r="W30" s="117"/>
      <c r="X30" s="117"/>
      <c r="Y30" s="117"/>
      <c r="Z30" s="117"/>
      <c r="AA30" s="94"/>
      <c r="AB30" s="94"/>
      <c r="AC30" s="117"/>
    </row>
    <row r="31" spans="1:29">
      <c r="A31" s="69"/>
      <c r="B31" s="70"/>
      <c r="C31" s="70"/>
      <c r="D31" s="3"/>
      <c r="E31" s="3"/>
      <c r="F31" s="71" t="s">
        <v>968</v>
      </c>
      <c r="G31" s="72" t="e">
        <v>#N/A</v>
      </c>
      <c r="H31" s="72" t="e">
        <v>#N/A</v>
      </c>
      <c r="I31" s="117"/>
      <c r="J31" s="117"/>
      <c r="K31" s="117"/>
      <c r="L31" s="117"/>
      <c r="M31" s="117"/>
      <c r="N31" s="117"/>
      <c r="O31" s="117"/>
      <c r="P31" s="117"/>
      <c r="Q31" s="117"/>
      <c r="R31" s="117"/>
      <c r="S31" s="117"/>
      <c r="T31" s="117"/>
      <c r="U31" s="117"/>
      <c r="V31" s="117"/>
      <c r="W31" s="117"/>
      <c r="X31" s="117"/>
      <c r="Y31" s="117"/>
      <c r="Z31" s="117"/>
      <c r="AA31" s="94"/>
      <c r="AB31" s="94"/>
      <c r="AC31" s="117"/>
    </row>
    <row r="32" spans="1:29">
      <c r="A32" s="69"/>
      <c r="B32" s="70"/>
      <c r="C32" s="70"/>
      <c r="D32" s="3"/>
      <c r="E32" s="3"/>
      <c r="F32" s="71" t="s">
        <v>968</v>
      </c>
      <c r="G32" s="72" t="e">
        <v>#N/A</v>
      </c>
      <c r="H32" s="72" t="e">
        <v>#N/A</v>
      </c>
      <c r="I32" s="117"/>
      <c r="J32" s="117"/>
      <c r="K32" s="117"/>
      <c r="L32" s="117"/>
      <c r="M32" s="117"/>
      <c r="N32" s="117"/>
      <c r="O32" s="117"/>
      <c r="P32" s="117"/>
      <c r="Q32" s="117"/>
      <c r="R32" s="117"/>
      <c r="S32" s="117"/>
      <c r="T32" s="117"/>
      <c r="U32" s="117"/>
      <c r="V32" s="117"/>
      <c r="W32" s="117"/>
      <c r="X32" s="117"/>
      <c r="Y32" s="117"/>
      <c r="Z32" s="117"/>
      <c r="AA32" s="94"/>
      <c r="AB32" s="94"/>
      <c r="AC32" s="117"/>
    </row>
    <row r="33" spans="1:29">
      <c r="A33" s="69"/>
      <c r="B33" s="70"/>
      <c r="C33" s="70"/>
      <c r="D33" s="3"/>
      <c r="E33" s="3"/>
      <c r="F33" s="71" t="s">
        <v>968</v>
      </c>
      <c r="G33" s="72" t="e">
        <v>#N/A</v>
      </c>
      <c r="H33" s="72" t="e">
        <v>#N/A</v>
      </c>
      <c r="I33" s="117"/>
      <c r="J33" s="117"/>
      <c r="K33" s="117"/>
      <c r="L33" s="117"/>
      <c r="M33" s="117"/>
      <c r="N33" s="117"/>
      <c r="O33" s="117"/>
      <c r="P33" s="117"/>
      <c r="Q33" s="117"/>
      <c r="R33" s="117"/>
      <c r="S33" s="117"/>
      <c r="T33" s="117"/>
      <c r="U33" s="117"/>
      <c r="V33" s="117"/>
      <c r="W33" s="117"/>
      <c r="X33" s="117"/>
      <c r="Y33" s="117"/>
      <c r="Z33" s="117"/>
      <c r="AA33" s="94"/>
      <c r="AB33" s="94"/>
      <c r="AC33" s="117"/>
    </row>
    <row r="34" spans="1:29">
      <c r="A34" s="69"/>
      <c r="B34" s="70"/>
      <c r="C34" s="70"/>
      <c r="D34" s="3"/>
      <c r="E34" s="3"/>
      <c r="F34" s="71" t="s">
        <v>968</v>
      </c>
      <c r="G34" s="72" t="e">
        <v>#N/A</v>
      </c>
      <c r="H34" s="72" t="e">
        <v>#N/A</v>
      </c>
      <c r="I34" s="117"/>
      <c r="J34" s="117"/>
      <c r="K34" s="117"/>
      <c r="L34" s="117"/>
      <c r="M34" s="117"/>
      <c r="N34" s="117"/>
      <c r="O34" s="117"/>
      <c r="P34" s="117"/>
      <c r="Q34" s="117"/>
      <c r="R34" s="117"/>
      <c r="S34" s="117"/>
      <c r="T34" s="117"/>
      <c r="U34" s="117"/>
      <c r="V34" s="117"/>
      <c r="W34" s="117"/>
      <c r="X34" s="117"/>
      <c r="Y34" s="117"/>
      <c r="Z34" s="117"/>
      <c r="AA34" s="94"/>
      <c r="AB34" s="94"/>
      <c r="AC34" s="117"/>
    </row>
    <row r="35" spans="1:29">
      <c r="A35" s="69"/>
      <c r="B35" s="70"/>
      <c r="C35" s="70"/>
      <c r="D35" s="3"/>
      <c r="E35" s="3"/>
      <c r="F35" s="71" t="s">
        <v>968</v>
      </c>
      <c r="G35" s="72" t="e">
        <v>#N/A</v>
      </c>
      <c r="H35" s="72" t="e">
        <v>#N/A</v>
      </c>
      <c r="I35" s="117"/>
      <c r="J35" s="117"/>
      <c r="K35" s="117"/>
      <c r="L35" s="117"/>
      <c r="M35" s="117"/>
      <c r="N35" s="117"/>
      <c r="O35" s="117"/>
      <c r="P35" s="117"/>
      <c r="Q35" s="117"/>
      <c r="R35" s="117"/>
      <c r="S35" s="117"/>
      <c r="T35" s="117"/>
      <c r="U35" s="117"/>
      <c r="V35" s="117"/>
      <c r="W35" s="117"/>
      <c r="X35" s="117"/>
      <c r="Y35" s="117"/>
      <c r="Z35" s="117"/>
      <c r="AA35" s="94"/>
      <c r="AB35" s="94"/>
      <c r="AC35" s="117"/>
    </row>
    <row r="36" spans="1:29">
      <c r="A36" s="69"/>
      <c r="B36" s="70"/>
      <c r="C36" s="70"/>
      <c r="D36" s="3"/>
      <c r="E36" s="3"/>
      <c r="F36" s="71" t="s">
        <v>968</v>
      </c>
      <c r="G36" s="72" t="e">
        <v>#N/A</v>
      </c>
      <c r="H36" s="72" t="e">
        <v>#N/A</v>
      </c>
      <c r="I36" s="117"/>
      <c r="J36" s="117"/>
      <c r="K36" s="117"/>
      <c r="L36" s="117"/>
      <c r="M36" s="117"/>
      <c r="N36" s="117"/>
      <c r="O36" s="117"/>
      <c r="P36" s="117"/>
      <c r="Q36" s="117"/>
      <c r="R36" s="117"/>
      <c r="S36" s="117"/>
      <c r="T36" s="117"/>
      <c r="U36" s="117"/>
      <c r="V36" s="117"/>
      <c r="W36" s="117"/>
      <c r="X36" s="117"/>
      <c r="Y36" s="117"/>
      <c r="Z36" s="117"/>
      <c r="AA36" s="94"/>
      <c r="AB36" s="94"/>
      <c r="AC36" s="117"/>
    </row>
    <row r="37" spans="1:29">
      <c r="A37" s="69"/>
      <c r="B37" s="70"/>
      <c r="C37" s="70"/>
      <c r="D37" s="3"/>
      <c r="E37" s="3"/>
      <c r="F37" s="71" t="s">
        <v>968</v>
      </c>
      <c r="G37" s="72" t="e">
        <v>#N/A</v>
      </c>
      <c r="H37" s="72" t="e">
        <v>#N/A</v>
      </c>
      <c r="I37" s="117"/>
      <c r="J37" s="117"/>
      <c r="K37" s="117"/>
      <c r="L37" s="117"/>
      <c r="M37" s="117"/>
      <c r="N37" s="117"/>
      <c r="O37" s="117"/>
      <c r="P37" s="117"/>
      <c r="Q37" s="117"/>
      <c r="R37" s="117"/>
      <c r="S37" s="117"/>
      <c r="T37" s="117"/>
      <c r="U37" s="117"/>
      <c r="V37" s="117"/>
      <c r="W37" s="117"/>
      <c r="X37" s="117"/>
      <c r="Y37" s="117"/>
      <c r="Z37" s="117"/>
      <c r="AA37" s="94"/>
      <c r="AB37" s="94"/>
      <c r="AC37" s="117"/>
    </row>
    <row r="38" spans="1:29">
      <c r="A38" s="69"/>
      <c r="B38" s="70"/>
      <c r="C38" s="70"/>
      <c r="D38" s="3"/>
      <c r="E38" s="3"/>
      <c r="F38" s="71" t="s">
        <v>968</v>
      </c>
      <c r="G38" s="72" t="e">
        <v>#N/A</v>
      </c>
      <c r="H38" s="72" t="e">
        <v>#N/A</v>
      </c>
      <c r="I38" s="117"/>
      <c r="J38" s="117"/>
      <c r="K38" s="117"/>
      <c r="L38" s="117"/>
      <c r="M38" s="117"/>
      <c r="N38" s="117"/>
      <c r="O38" s="117"/>
      <c r="P38" s="117"/>
      <c r="Q38" s="117"/>
      <c r="R38" s="117"/>
      <c r="S38" s="117"/>
      <c r="T38" s="117"/>
      <c r="U38" s="117"/>
      <c r="V38" s="117"/>
      <c r="W38" s="117"/>
      <c r="X38" s="117"/>
      <c r="Y38" s="117"/>
      <c r="Z38" s="117"/>
      <c r="AA38" s="94"/>
      <c r="AB38" s="94"/>
      <c r="AC38" s="117"/>
    </row>
    <row r="39" spans="1:29">
      <c r="A39" s="69"/>
      <c r="B39" s="70"/>
      <c r="C39" s="70"/>
      <c r="D39" s="3"/>
      <c r="E39" s="3"/>
      <c r="F39" s="71" t="s">
        <v>968</v>
      </c>
      <c r="G39" s="72" t="e">
        <v>#N/A</v>
      </c>
      <c r="H39" s="72" t="e">
        <v>#N/A</v>
      </c>
      <c r="I39" s="117"/>
      <c r="J39" s="117"/>
      <c r="K39" s="117"/>
      <c r="L39" s="117"/>
      <c r="M39" s="117"/>
      <c r="N39" s="117"/>
      <c r="O39" s="117"/>
      <c r="P39" s="117"/>
      <c r="Q39" s="117"/>
      <c r="R39" s="117"/>
      <c r="S39" s="117"/>
      <c r="T39" s="117"/>
      <c r="U39" s="117"/>
      <c r="V39" s="117"/>
      <c r="W39" s="117"/>
      <c r="X39" s="117"/>
      <c r="Y39" s="117"/>
      <c r="Z39" s="117"/>
      <c r="AA39" s="94"/>
      <c r="AB39" s="94"/>
      <c r="AC39" s="117"/>
    </row>
    <row r="40" spans="1:29">
      <c r="A40" s="69"/>
      <c r="B40" s="70"/>
      <c r="C40" s="70"/>
      <c r="D40" s="3"/>
      <c r="E40" s="3"/>
      <c r="F40" s="71" t="s">
        <v>968</v>
      </c>
      <c r="G40" s="72" t="e">
        <v>#N/A</v>
      </c>
      <c r="H40" s="72" t="e">
        <v>#N/A</v>
      </c>
      <c r="I40" s="117"/>
      <c r="J40" s="117"/>
      <c r="K40" s="117"/>
      <c r="L40" s="117"/>
      <c r="M40" s="117"/>
      <c r="N40" s="117"/>
      <c r="O40" s="117"/>
      <c r="P40" s="117"/>
      <c r="Q40" s="117"/>
      <c r="R40" s="117"/>
      <c r="S40" s="117"/>
      <c r="T40" s="117"/>
      <c r="U40" s="117"/>
      <c r="V40" s="117"/>
      <c r="W40" s="117"/>
      <c r="X40" s="117"/>
      <c r="Y40" s="117"/>
      <c r="Z40" s="117"/>
      <c r="AA40" s="94"/>
      <c r="AB40" s="94"/>
      <c r="AC40" s="117"/>
    </row>
    <row r="41" spans="1:29">
      <c r="A41" s="69"/>
      <c r="B41" s="70"/>
      <c r="C41" s="70"/>
      <c r="D41" s="3"/>
      <c r="E41" s="3"/>
      <c r="F41" s="71" t="s">
        <v>968</v>
      </c>
      <c r="G41" s="72" t="e">
        <v>#N/A</v>
      </c>
      <c r="H41" s="72" t="e">
        <v>#N/A</v>
      </c>
      <c r="I41" s="117"/>
      <c r="J41" s="117"/>
      <c r="K41" s="117"/>
      <c r="L41" s="117"/>
      <c r="M41" s="117"/>
      <c r="N41" s="117"/>
      <c r="O41" s="117"/>
      <c r="P41" s="117"/>
      <c r="Q41" s="117"/>
      <c r="R41" s="117"/>
      <c r="S41" s="117"/>
      <c r="T41" s="117"/>
      <c r="U41" s="117"/>
      <c r="V41" s="117"/>
      <c r="W41" s="117"/>
      <c r="X41" s="117"/>
      <c r="Y41" s="117"/>
      <c r="Z41" s="117"/>
      <c r="AA41" s="94"/>
      <c r="AB41" s="94"/>
      <c r="AC41" s="117"/>
    </row>
    <row r="42" spans="1:29">
      <c r="A42" s="69"/>
      <c r="B42" s="70"/>
      <c r="C42" s="70"/>
      <c r="D42" s="3"/>
      <c r="E42" s="3"/>
      <c r="F42" s="71" t="s">
        <v>968</v>
      </c>
      <c r="G42" s="72" t="e">
        <v>#N/A</v>
      </c>
      <c r="H42" s="72" t="e">
        <v>#N/A</v>
      </c>
      <c r="I42" s="117"/>
      <c r="J42" s="117"/>
      <c r="K42" s="117"/>
      <c r="L42" s="117"/>
      <c r="M42" s="117"/>
      <c r="N42" s="117"/>
      <c r="O42" s="117"/>
      <c r="P42" s="117"/>
      <c r="Q42" s="117"/>
      <c r="R42" s="117"/>
      <c r="S42" s="117"/>
      <c r="T42" s="117"/>
      <c r="U42" s="117"/>
      <c r="V42" s="117"/>
      <c r="W42" s="117"/>
      <c r="X42" s="117"/>
      <c r="Y42" s="117"/>
      <c r="Z42" s="117"/>
      <c r="AA42" s="94"/>
      <c r="AB42" s="94"/>
      <c r="AC42" s="117"/>
    </row>
    <row r="43" spans="1:29">
      <c r="A43" s="69"/>
      <c r="B43" s="70"/>
      <c r="C43" s="70"/>
      <c r="D43" s="3"/>
      <c r="E43" s="3"/>
      <c r="F43" s="71" t="s">
        <v>968</v>
      </c>
      <c r="G43" s="72" t="e">
        <v>#N/A</v>
      </c>
      <c r="H43" s="72" t="e">
        <v>#N/A</v>
      </c>
      <c r="I43" s="117"/>
      <c r="J43" s="117"/>
      <c r="K43" s="117"/>
      <c r="L43" s="117"/>
      <c r="M43" s="117"/>
      <c r="N43" s="117"/>
      <c r="O43" s="117"/>
      <c r="P43" s="117"/>
      <c r="Q43" s="117"/>
      <c r="R43" s="117"/>
      <c r="S43" s="117"/>
      <c r="T43" s="117"/>
      <c r="U43" s="117"/>
      <c r="V43" s="117"/>
      <c r="W43" s="117"/>
      <c r="X43" s="117"/>
      <c r="Y43" s="117"/>
      <c r="Z43" s="117"/>
      <c r="AA43" s="94"/>
      <c r="AB43" s="94"/>
      <c r="AC43" s="117"/>
    </row>
    <row r="44" spans="1:29">
      <c r="A44" s="69"/>
      <c r="B44" s="70"/>
      <c r="C44" s="70"/>
      <c r="D44" s="3"/>
      <c r="E44" s="3"/>
      <c r="F44" s="71" t="s">
        <v>968</v>
      </c>
      <c r="G44" s="72" t="e">
        <v>#N/A</v>
      </c>
      <c r="H44" s="72" t="e">
        <v>#N/A</v>
      </c>
      <c r="I44" s="117"/>
      <c r="J44" s="117"/>
      <c r="K44" s="117"/>
      <c r="L44" s="117"/>
      <c r="M44" s="117"/>
      <c r="N44" s="117"/>
      <c r="O44" s="117"/>
      <c r="P44" s="117"/>
      <c r="Q44" s="117"/>
      <c r="R44" s="117"/>
      <c r="S44" s="117"/>
      <c r="T44" s="117"/>
      <c r="U44" s="117"/>
      <c r="V44" s="117"/>
      <c r="W44" s="117"/>
      <c r="X44" s="117"/>
      <c r="Y44" s="117"/>
      <c r="Z44" s="117"/>
      <c r="AA44" s="94"/>
      <c r="AB44" s="94"/>
      <c r="AC44" s="117"/>
    </row>
    <row r="45" spans="1:29">
      <c r="A45" s="69"/>
      <c r="B45" s="70"/>
      <c r="C45" s="70"/>
      <c r="D45" s="3"/>
      <c r="E45" s="3"/>
      <c r="F45" s="71" t="s">
        <v>968</v>
      </c>
      <c r="G45" s="72" t="e">
        <v>#N/A</v>
      </c>
      <c r="H45" s="72" t="e">
        <v>#N/A</v>
      </c>
      <c r="I45" s="117"/>
      <c r="J45" s="117"/>
      <c r="K45" s="117"/>
      <c r="L45" s="117"/>
      <c r="M45" s="117"/>
      <c r="N45" s="117"/>
      <c r="O45" s="117"/>
      <c r="P45" s="117"/>
      <c r="Q45" s="117"/>
      <c r="R45" s="117"/>
      <c r="S45" s="117"/>
      <c r="T45" s="117"/>
      <c r="U45" s="117"/>
      <c r="V45" s="117"/>
      <c r="W45" s="117"/>
      <c r="X45" s="117"/>
      <c r="Y45" s="117"/>
      <c r="Z45" s="117"/>
      <c r="AA45" s="94"/>
      <c r="AB45" s="94"/>
      <c r="AC45" s="117"/>
    </row>
    <row r="46" spans="1:29">
      <c r="A46" s="69"/>
      <c r="B46" s="70"/>
      <c r="C46" s="70"/>
      <c r="D46" s="3"/>
      <c r="E46" s="3"/>
      <c r="F46" s="71" t="s">
        <v>968</v>
      </c>
      <c r="G46" s="72" t="e">
        <v>#N/A</v>
      </c>
      <c r="H46" s="72" t="e">
        <v>#N/A</v>
      </c>
      <c r="I46" s="117"/>
      <c r="J46" s="117"/>
      <c r="K46" s="117"/>
      <c r="L46" s="117"/>
      <c r="M46" s="117"/>
      <c r="N46" s="117"/>
      <c r="O46" s="117"/>
      <c r="P46" s="117"/>
      <c r="Q46" s="117"/>
      <c r="R46" s="117"/>
      <c r="S46" s="117"/>
      <c r="T46" s="117"/>
      <c r="U46" s="117"/>
      <c r="V46" s="117"/>
      <c r="W46" s="117"/>
      <c r="X46" s="117"/>
      <c r="Y46" s="117"/>
      <c r="Z46" s="117"/>
      <c r="AA46" s="94"/>
      <c r="AB46" s="94"/>
      <c r="AC46" s="117"/>
    </row>
    <row r="47" spans="1:29">
      <c r="A47" s="69"/>
      <c r="B47" s="70"/>
      <c r="C47" s="70"/>
      <c r="D47" s="3"/>
      <c r="E47" s="3"/>
      <c r="F47" s="71" t="s">
        <v>968</v>
      </c>
      <c r="G47" s="72" t="e">
        <v>#N/A</v>
      </c>
      <c r="H47" s="72" t="e">
        <v>#N/A</v>
      </c>
      <c r="I47" s="117"/>
      <c r="J47" s="117"/>
      <c r="K47" s="117"/>
      <c r="L47" s="117"/>
      <c r="M47" s="117"/>
      <c r="N47" s="117"/>
      <c r="O47" s="117"/>
      <c r="P47" s="117"/>
      <c r="Q47" s="117"/>
      <c r="R47" s="117"/>
      <c r="S47" s="117"/>
      <c r="T47" s="117"/>
      <c r="U47" s="117"/>
      <c r="V47" s="117"/>
      <c r="W47" s="117"/>
      <c r="X47" s="117"/>
      <c r="Y47" s="117"/>
      <c r="Z47" s="117"/>
      <c r="AA47" s="94"/>
      <c r="AB47" s="94"/>
      <c r="AC47" s="117"/>
    </row>
    <row r="48" spans="1:29">
      <c r="A48" s="69"/>
      <c r="B48" s="70"/>
      <c r="C48" s="70"/>
      <c r="D48" s="3"/>
      <c r="E48" s="3"/>
      <c r="F48" s="71" t="s">
        <v>968</v>
      </c>
      <c r="G48" s="72" t="e">
        <v>#N/A</v>
      </c>
      <c r="H48" s="72" t="e">
        <v>#N/A</v>
      </c>
      <c r="I48" s="117"/>
      <c r="J48" s="117"/>
      <c r="K48" s="117"/>
      <c r="L48" s="117"/>
      <c r="M48" s="117"/>
      <c r="N48" s="117"/>
      <c r="O48" s="117"/>
      <c r="P48" s="117"/>
      <c r="Q48" s="117"/>
      <c r="R48" s="117"/>
      <c r="S48" s="117"/>
      <c r="T48" s="117"/>
      <c r="U48" s="117"/>
      <c r="V48" s="117"/>
      <c r="W48" s="117"/>
      <c r="X48" s="117"/>
      <c r="Y48" s="117"/>
      <c r="Z48" s="117"/>
      <c r="AA48" s="94"/>
      <c r="AB48" s="94"/>
      <c r="AC48" s="117"/>
    </row>
    <row r="49" spans="1:29">
      <c r="A49" s="69"/>
      <c r="B49" s="70"/>
      <c r="C49" s="70"/>
      <c r="D49" s="3"/>
      <c r="E49" s="3"/>
      <c r="F49" s="71" t="s">
        <v>968</v>
      </c>
      <c r="G49" s="72" t="e">
        <v>#N/A</v>
      </c>
      <c r="H49" s="72" t="e">
        <v>#N/A</v>
      </c>
      <c r="I49" s="117"/>
      <c r="J49" s="117"/>
      <c r="K49" s="117"/>
      <c r="L49" s="117"/>
      <c r="M49" s="117"/>
      <c r="N49" s="117"/>
      <c r="O49" s="117"/>
      <c r="P49" s="117"/>
      <c r="Q49" s="117"/>
      <c r="R49" s="117"/>
      <c r="S49" s="117"/>
      <c r="T49" s="117"/>
      <c r="U49" s="117"/>
      <c r="V49" s="117"/>
      <c r="W49" s="117"/>
      <c r="X49" s="117"/>
      <c r="Y49" s="117"/>
      <c r="Z49" s="117"/>
      <c r="AA49" s="94"/>
      <c r="AB49" s="94"/>
      <c r="AC49" s="117"/>
    </row>
    <row r="50" spans="1:29">
      <c r="A50" s="69"/>
      <c r="B50" s="70"/>
      <c r="C50" s="70"/>
      <c r="D50" s="3"/>
      <c r="E50" s="3"/>
      <c r="F50" s="71" t="s">
        <v>968</v>
      </c>
      <c r="G50" s="72" t="e">
        <v>#N/A</v>
      </c>
      <c r="H50" s="72" t="e">
        <v>#N/A</v>
      </c>
      <c r="I50" s="117"/>
      <c r="J50" s="117"/>
      <c r="K50" s="117"/>
      <c r="L50" s="117"/>
      <c r="M50" s="117"/>
      <c r="N50" s="117"/>
      <c r="O50" s="117"/>
      <c r="P50" s="117"/>
      <c r="Q50" s="117"/>
      <c r="R50" s="117"/>
      <c r="S50" s="117"/>
      <c r="T50" s="117"/>
      <c r="U50" s="117"/>
      <c r="V50" s="117"/>
      <c r="W50" s="117"/>
      <c r="X50" s="117"/>
      <c r="Y50" s="117"/>
      <c r="Z50" s="117"/>
      <c r="AA50" s="94"/>
      <c r="AB50" s="94"/>
      <c r="AC50" s="117"/>
    </row>
  </sheetData>
  <conditionalFormatting sqref="L7:L10">
    <cfRule type="cellIs" dxfId="5" priority="2" stopIfTrue="1" operator="equal">
      <formula>#REF!</formula>
    </cfRule>
  </conditionalFormatting>
  <conditionalFormatting sqref="F7:H10">
    <cfRule type="cellIs" dxfId="4" priority="1" stopIfTrue="1" operator="equal">
      <formula>#REF!</formula>
    </cfRule>
  </conditionalFormatting>
  <dataValidations count="1">
    <dataValidation type="list" allowBlank="1" showInputMessage="1" showErrorMessage="1" sqref="B11:C50" xr:uid="{D81BF7D4-CBDD-4AE6-81C5-A861F98721CF}">
      <formula1>OFFSET(INDIRECT("'"&amp;B$5&amp;"'!$A$1",TRUE),10,0,50000,1)</formula1>
    </dataValidation>
  </dataValidations>
  <printOptions horizontalCentered="1"/>
  <pageMargins left="0.59055118110236227" right="0.59055118110236227" top="0.59055118110236227" bottom="0.59055118110236227" header="0.31496062992125984" footer="0.31496062992125984"/>
  <pageSetup paperSize="9" scale="14" orientation="portrait" horizontalDpi="1200" verticalDpi="1200" r:id="rId1"/>
  <headerFooter alignWithMargins="0">
    <oddFooter>&amp;L&amp;6[&amp;F]&amp;A &amp;R&amp;6&amp;D  &amp;T</oddFooter>
  </headerFooter>
  <drawing r:id="rId2"/>
  <legacyDrawing r:id="rId3"/>
  <pictur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showGridLines="0" workbookViewId="0">
      <pane xSplit="1" ySplit="10" topLeftCell="B11" activePane="bottomRight" state="frozen"/>
      <selection activeCell="C24" sqref="C24"/>
      <selection pane="topRight" activeCell="C24" sqref="C24"/>
      <selection pane="bottomLeft" activeCell="C24" sqref="C24"/>
      <selection pane="bottomRight" activeCell="B11" sqref="B11"/>
    </sheetView>
  </sheetViews>
  <sheetFormatPr baseColWidth="10" defaultColWidth="31.7109375" defaultRowHeight="10.199999999999999" outlineLevelRow="1"/>
  <cols>
    <col min="1" max="1" width="50" style="84" customWidth="1"/>
    <col min="2" max="2" width="16.7109375" style="84" customWidth="1"/>
    <col min="3" max="3" width="12.42578125" style="93" customWidth="1"/>
    <col min="4" max="5" width="28.7109375" style="84" customWidth="1"/>
    <col min="6" max="6" width="12.42578125" style="84" customWidth="1"/>
    <col min="7" max="9" width="9.28515625" style="14" customWidth="1"/>
    <col min="10" max="13" width="10.5703125" style="84" customWidth="1"/>
    <col min="14" max="15" width="57.140625" style="84" customWidth="1"/>
    <col min="16" max="17" width="15.85546875" style="84" customWidth="1"/>
    <col min="18" max="18" width="42.85546875" style="84" customWidth="1"/>
    <col min="19" max="16384" width="31.7109375" style="84"/>
  </cols>
  <sheetData>
    <row r="1" spans="1:21" s="78" customFormat="1" ht="40.799999999999997">
      <c r="A1" s="75" t="s">
        <v>303</v>
      </c>
      <c r="B1" s="75" t="s">
        <v>13</v>
      </c>
      <c r="C1" s="75" t="s">
        <v>15</v>
      </c>
      <c r="D1" s="75" t="s">
        <v>374</v>
      </c>
      <c r="E1" s="75" t="s">
        <v>375</v>
      </c>
      <c r="F1" s="75" t="s">
        <v>376</v>
      </c>
      <c r="G1" s="76" t="s">
        <v>25</v>
      </c>
      <c r="H1" s="76" t="s">
        <v>26</v>
      </c>
      <c r="I1" s="76" t="s">
        <v>27</v>
      </c>
      <c r="J1" s="75" t="s">
        <v>156</v>
      </c>
      <c r="K1" s="75" t="s">
        <v>157</v>
      </c>
      <c r="L1" s="75" t="s">
        <v>158</v>
      </c>
      <c r="M1" s="75" t="s">
        <v>159</v>
      </c>
      <c r="N1" s="75" t="s">
        <v>210</v>
      </c>
      <c r="O1" s="75" t="s">
        <v>211</v>
      </c>
      <c r="P1" s="75" t="s">
        <v>36</v>
      </c>
      <c r="Q1" s="75" t="s">
        <v>37</v>
      </c>
      <c r="R1" s="75" t="s">
        <v>38</v>
      </c>
      <c r="S1" s="118"/>
      <c r="T1" s="118"/>
      <c r="U1" s="118"/>
    </row>
    <row r="2" spans="1:21" s="79" customFormat="1" ht="52.5" customHeight="1">
      <c r="A2" s="57" t="s">
        <v>279</v>
      </c>
      <c r="B2" s="57" t="s">
        <v>314</v>
      </c>
      <c r="C2" s="57" t="s">
        <v>315</v>
      </c>
      <c r="D2" s="57"/>
      <c r="E2" s="57"/>
      <c r="F2" s="57" t="s">
        <v>317</v>
      </c>
      <c r="G2" s="58" t="s">
        <v>319</v>
      </c>
      <c r="H2" s="58" t="s">
        <v>319</v>
      </c>
      <c r="I2" s="58" t="s">
        <v>320</v>
      </c>
      <c r="J2" s="57" t="s">
        <v>298</v>
      </c>
      <c r="K2" s="57" t="s">
        <v>298</v>
      </c>
      <c r="L2" s="57" t="s">
        <v>298</v>
      </c>
      <c r="M2" s="57" t="s">
        <v>298</v>
      </c>
      <c r="N2" s="57" t="s">
        <v>160</v>
      </c>
      <c r="O2" s="57" t="s">
        <v>275</v>
      </c>
      <c r="P2" s="57" t="s">
        <v>271</v>
      </c>
      <c r="Q2" s="57" t="s">
        <v>272</v>
      </c>
      <c r="R2" s="57" t="s">
        <v>273</v>
      </c>
      <c r="S2" s="14"/>
      <c r="T2" s="14"/>
      <c r="U2" s="14"/>
    </row>
    <row r="3" spans="1:21" s="79" customFormat="1" ht="60" customHeight="1">
      <c r="A3" s="57"/>
      <c r="B3" s="57"/>
      <c r="C3" s="57"/>
      <c r="D3" s="57" t="s">
        <v>377</v>
      </c>
      <c r="E3" s="57" t="s">
        <v>378</v>
      </c>
      <c r="F3" s="57" t="s">
        <v>328</v>
      </c>
      <c r="G3" s="58"/>
      <c r="H3" s="58"/>
      <c r="I3" s="58"/>
      <c r="J3" s="57" t="s">
        <v>294</v>
      </c>
      <c r="K3" s="57" t="s">
        <v>295</v>
      </c>
      <c r="L3" s="57" t="s">
        <v>296</v>
      </c>
      <c r="M3" s="57" t="s">
        <v>297</v>
      </c>
      <c r="N3" s="57"/>
      <c r="O3" s="57"/>
      <c r="P3" s="57"/>
      <c r="Q3" s="57"/>
      <c r="R3" s="57" t="s">
        <v>274</v>
      </c>
      <c r="S3" s="14"/>
      <c r="T3" s="14"/>
      <c r="U3" s="14"/>
    </row>
    <row r="4" spans="1:21" s="79" customFormat="1" ht="33.6" customHeight="1">
      <c r="A4" s="57" t="s">
        <v>971</v>
      </c>
      <c r="B4" s="57"/>
      <c r="C4" s="57"/>
      <c r="D4" s="57"/>
      <c r="E4" s="57"/>
      <c r="F4" s="57"/>
      <c r="G4" s="58"/>
      <c r="H4" s="58"/>
      <c r="I4" s="58"/>
      <c r="J4" s="57"/>
      <c r="K4" s="57"/>
      <c r="L4" s="57"/>
      <c r="M4" s="57"/>
      <c r="N4" s="57"/>
      <c r="O4" s="57"/>
      <c r="P4" s="57"/>
      <c r="Q4" s="57"/>
      <c r="R4" s="57"/>
      <c r="S4" s="14"/>
      <c r="T4" s="14"/>
      <c r="U4" s="14"/>
    </row>
    <row r="5" spans="1:21" s="122" customFormat="1" ht="30.6">
      <c r="A5" s="119"/>
      <c r="B5" s="119" t="s">
        <v>335</v>
      </c>
      <c r="C5" s="119" t="s">
        <v>336</v>
      </c>
      <c r="D5" s="119"/>
      <c r="E5" s="119"/>
      <c r="F5" s="119"/>
      <c r="G5" s="120"/>
      <c r="H5" s="120" t="s">
        <v>337</v>
      </c>
      <c r="I5" s="120" t="s">
        <v>338</v>
      </c>
      <c r="J5" s="119"/>
      <c r="K5" s="119"/>
      <c r="L5" s="119"/>
      <c r="M5" s="119"/>
      <c r="N5" s="119"/>
      <c r="O5" s="119"/>
      <c r="P5" s="119"/>
      <c r="Q5" s="119"/>
      <c r="R5" s="119"/>
      <c r="S5" s="121"/>
      <c r="T5" s="121"/>
      <c r="U5" s="121"/>
    </row>
    <row r="6" spans="1:21" s="81" customFormat="1" collapsed="1">
      <c r="A6" s="63" t="s">
        <v>95</v>
      </c>
      <c r="B6" s="63" t="s">
        <v>95</v>
      </c>
      <c r="C6" s="63" t="s">
        <v>95</v>
      </c>
      <c r="D6" s="63" t="s">
        <v>95</v>
      </c>
      <c r="E6" s="63" t="s">
        <v>95</v>
      </c>
      <c r="F6" s="63" t="s">
        <v>96</v>
      </c>
      <c r="G6" s="63" t="s">
        <v>95</v>
      </c>
      <c r="H6" s="63" t="s">
        <v>96</v>
      </c>
      <c r="I6" s="63" t="s">
        <v>96</v>
      </c>
      <c r="J6" s="63" t="s">
        <v>98</v>
      </c>
      <c r="K6" s="63" t="s">
        <v>98</v>
      </c>
      <c r="L6" s="63" t="s">
        <v>98</v>
      </c>
      <c r="M6" s="63" t="s">
        <v>98</v>
      </c>
      <c r="N6" s="63" t="s">
        <v>97</v>
      </c>
      <c r="O6" s="63" t="s">
        <v>97</v>
      </c>
      <c r="P6" s="63" t="s">
        <v>217</v>
      </c>
      <c r="Q6" s="63" t="s">
        <v>217</v>
      </c>
      <c r="R6" s="63" t="s">
        <v>97</v>
      </c>
      <c r="S6" s="14"/>
      <c r="T6" s="14"/>
      <c r="U6" s="14"/>
    </row>
    <row r="7" spans="1:21" s="81" customFormat="1" ht="30.6" hidden="1" outlineLevel="1">
      <c r="A7" s="66"/>
      <c r="B7" s="66"/>
      <c r="C7" s="66"/>
      <c r="D7" s="66"/>
      <c r="E7" s="66"/>
      <c r="F7" s="66"/>
      <c r="G7" s="67"/>
      <c r="H7" s="67" t="s">
        <v>25</v>
      </c>
      <c r="I7" s="67" t="s">
        <v>25</v>
      </c>
      <c r="J7" s="67"/>
      <c r="K7" s="66"/>
      <c r="L7" s="66"/>
      <c r="M7" s="66"/>
      <c r="N7" s="66"/>
      <c r="O7" s="66"/>
      <c r="P7" s="66"/>
      <c r="Q7" s="66"/>
      <c r="R7" s="66"/>
      <c r="S7" s="14"/>
      <c r="T7" s="14"/>
      <c r="U7" s="14"/>
    </row>
    <row r="8" spans="1:21" s="81" customFormat="1" hidden="1" outlineLevel="1">
      <c r="A8" s="68"/>
      <c r="B8" s="68"/>
      <c r="C8" s="68"/>
      <c r="D8" s="68"/>
      <c r="E8" s="68"/>
      <c r="F8" s="68"/>
      <c r="G8" s="67"/>
      <c r="H8" s="67">
        <v>7</v>
      </c>
      <c r="I8" s="67">
        <v>7</v>
      </c>
      <c r="J8" s="67"/>
      <c r="K8" s="68"/>
      <c r="L8" s="68"/>
      <c r="M8" s="68"/>
      <c r="N8" s="68"/>
      <c r="O8" s="68"/>
      <c r="P8" s="68"/>
      <c r="Q8" s="68"/>
      <c r="R8" s="68"/>
      <c r="S8" s="14"/>
      <c r="T8" s="14"/>
      <c r="U8" s="14"/>
    </row>
    <row r="9" spans="1:21" s="81" customFormat="1" ht="40.799999999999997" hidden="1" outlineLevel="1">
      <c r="A9" s="68"/>
      <c r="B9" s="68"/>
      <c r="C9" s="68"/>
      <c r="D9" s="68"/>
      <c r="E9" s="68"/>
      <c r="F9" s="68"/>
      <c r="G9" s="67"/>
      <c r="H9" s="67" t="s">
        <v>26</v>
      </c>
      <c r="I9" s="67" t="s">
        <v>27</v>
      </c>
      <c r="J9" s="67"/>
      <c r="K9" s="68"/>
      <c r="L9" s="68"/>
      <c r="M9" s="68"/>
      <c r="N9" s="68"/>
      <c r="O9" s="68"/>
      <c r="P9" s="68"/>
      <c r="Q9" s="68"/>
      <c r="R9" s="68"/>
      <c r="S9" s="14"/>
      <c r="T9" s="14"/>
      <c r="U9" s="14"/>
    </row>
    <row r="10" spans="1:21" s="81" customFormat="1" hidden="1" outlineLevel="1">
      <c r="A10" s="68"/>
      <c r="B10" s="68"/>
      <c r="C10" s="68"/>
      <c r="D10" s="68"/>
      <c r="E10" s="68"/>
      <c r="F10" s="68"/>
      <c r="G10" s="67"/>
      <c r="H10" s="67">
        <v>8</v>
      </c>
      <c r="I10" s="67">
        <v>9</v>
      </c>
      <c r="J10" s="67"/>
      <c r="K10" s="68"/>
      <c r="L10" s="68"/>
      <c r="M10" s="68"/>
      <c r="N10" s="68"/>
      <c r="O10" s="68"/>
      <c r="P10" s="68"/>
      <c r="Q10" s="68"/>
      <c r="R10" s="68"/>
      <c r="S10" s="14"/>
      <c r="T10" s="14"/>
      <c r="U10" s="14"/>
    </row>
    <row r="11" spans="1:21" collapsed="1">
      <c r="A11" s="69" t="s">
        <v>972</v>
      </c>
      <c r="B11" s="70" t="s">
        <v>339</v>
      </c>
      <c r="C11" s="70" t="s">
        <v>340</v>
      </c>
      <c r="D11" s="3" t="s">
        <v>379</v>
      </c>
      <c r="E11" s="3" t="s">
        <v>380</v>
      </c>
      <c r="F11" s="3">
        <v>1</v>
      </c>
      <c r="G11" s="71" t="s">
        <v>749</v>
      </c>
      <c r="H11" s="72">
        <v>0</v>
      </c>
      <c r="I11" s="72">
        <v>1920</v>
      </c>
      <c r="J11" s="117"/>
      <c r="K11" s="117"/>
      <c r="L11" s="117"/>
      <c r="M11" s="117"/>
      <c r="N11" s="117"/>
      <c r="O11" s="117"/>
      <c r="P11" s="94"/>
      <c r="Q11" s="94"/>
      <c r="R11" s="117"/>
    </row>
    <row r="12" spans="1:21" ht="20.399999999999999">
      <c r="A12" s="69" t="s">
        <v>973</v>
      </c>
      <c r="B12" s="70" t="s">
        <v>341</v>
      </c>
      <c r="C12" s="70" t="s">
        <v>16</v>
      </c>
      <c r="D12" s="3" t="s">
        <v>342</v>
      </c>
      <c r="E12" s="3" t="s">
        <v>381</v>
      </c>
      <c r="F12" s="3">
        <v>1</v>
      </c>
      <c r="G12" s="71" t="s">
        <v>750</v>
      </c>
      <c r="H12" s="72">
        <v>0</v>
      </c>
      <c r="I12" s="72">
        <v>1859</v>
      </c>
      <c r="J12" s="117">
        <v>0.9</v>
      </c>
      <c r="K12" s="117">
        <v>0.9</v>
      </c>
      <c r="L12" s="117">
        <v>0.75</v>
      </c>
      <c r="M12" s="117">
        <v>0.8</v>
      </c>
      <c r="N12" s="117" t="s">
        <v>305</v>
      </c>
      <c r="O12" s="117" t="s">
        <v>299</v>
      </c>
      <c r="P12" s="94">
        <v>43978</v>
      </c>
      <c r="Q12" s="94"/>
      <c r="R12" s="117"/>
    </row>
    <row r="13" spans="1:21" ht="20.399999999999999">
      <c r="A13" s="69" t="s">
        <v>974</v>
      </c>
      <c r="B13" s="70" t="s">
        <v>341</v>
      </c>
      <c r="C13" s="70" t="s">
        <v>16</v>
      </c>
      <c r="D13" s="3" t="s">
        <v>342</v>
      </c>
      <c r="E13" s="3" t="s">
        <v>381</v>
      </c>
      <c r="F13" s="3">
        <v>2</v>
      </c>
      <c r="G13" s="71" t="s">
        <v>751</v>
      </c>
      <c r="H13" s="72">
        <v>1860</v>
      </c>
      <c r="I13" s="72">
        <v>1918</v>
      </c>
      <c r="J13" s="117">
        <v>0.9</v>
      </c>
      <c r="K13" s="117">
        <v>0.9</v>
      </c>
      <c r="L13" s="117">
        <v>0.75</v>
      </c>
      <c r="M13" s="117">
        <v>0.8</v>
      </c>
      <c r="N13" s="117" t="s">
        <v>305</v>
      </c>
      <c r="O13" s="117" t="s">
        <v>299</v>
      </c>
      <c r="P13" s="94">
        <v>43978</v>
      </c>
      <c r="Q13" s="94"/>
      <c r="R13" s="117"/>
    </row>
    <row r="14" spans="1:21" ht="20.399999999999999">
      <c r="A14" s="69" t="s">
        <v>975</v>
      </c>
      <c r="B14" s="70" t="s">
        <v>341</v>
      </c>
      <c r="C14" s="70" t="s">
        <v>16</v>
      </c>
      <c r="D14" s="3" t="s">
        <v>342</v>
      </c>
      <c r="E14" s="3" t="s">
        <v>381</v>
      </c>
      <c r="F14" s="3">
        <v>3</v>
      </c>
      <c r="G14" s="71" t="s">
        <v>752</v>
      </c>
      <c r="H14" s="72">
        <v>1919</v>
      </c>
      <c r="I14" s="72">
        <v>1948</v>
      </c>
      <c r="J14" s="117">
        <v>0.9</v>
      </c>
      <c r="K14" s="117">
        <v>0.9</v>
      </c>
      <c r="L14" s="117">
        <v>0.75</v>
      </c>
      <c r="M14" s="117">
        <v>0.8</v>
      </c>
      <c r="N14" s="117" t="s">
        <v>305</v>
      </c>
      <c r="O14" s="117" t="s">
        <v>299</v>
      </c>
      <c r="P14" s="94">
        <v>43978</v>
      </c>
      <c r="Q14" s="94"/>
      <c r="R14" s="117"/>
    </row>
    <row r="15" spans="1:21" ht="20.399999999999999">
      <c r="A15" s="69" t="s">
        <v>976</v>
      </c>
      <c r="B15" s="70" t="s">
        <v>341</v>
      </c>
      <c r="C15" s="70" t="s">
        <v>16</v>
      </c>
      <c r="D15" s="3" t="s">
        <v>342</v>
      </c>
      <c r="E15" s="3" t="s">
        <v>381</v>
      </c>
      <c r="F15" s="3">
        <v>4</v>
      </c>
      <c r="G15" s="71" t="s">
        <v>753</v>
      </c>
      <c r="H15" s="72">
        <v>1949</v>
      </c>
      <c r="I15" s="72">
        <v>1957</v>
      </c>
      <c r="J15" s="117">
        <v>0.9</v>
      </c>
      <c r="K15" s="117">
        <v>0.9</v>
      </c>
      <c r="L15" s="117">
        <v>0.75</v>
      </c>
      <c r="M15" s="117">
        <v>0.8</v>
      </c>
      <c r="N15" s="117" t="s">
        <v>305</v>
      </c>
      <c r="O15" s="117" t="s">
        <v>299</v>
      </c>
      <c r="P15" s="94">
        <v>43978</v>
      </c>
      <c r="Q15" s="94"/>
      <c r="R15" s="117"/>
    </row>
    <row r="16" spans="1:21" ht="20.399999999999999">
      <c r="A16" s="69" t="s">
        <v>977</v>
      </c>
      <c r="B16" s="70" t="s">
        <v>341</v>
      </c>
      <c r="C16" s="70" t="s">
        <v>16</v>
      </c>
      <c r="D16" s="3" t="s">
        <v>342</v>
      </c>
      <c r="E16" s="3" t="s">
        <v>381</v>
      </c>
      <c r="F16" s="3">
        <v>5</v>
      </c>
      <c r="G16" s="71" t="s">
        <v>754</v>
      </c>
      <c r="H16" s="72">
        <v>1958</v>
      </c>
      <c r="I16" s="72">
        <v>1968</v>
      </c>
      <c r="J16" s="117">
        <v>0.9</v>
      </c>
      <c r="K16" s="117">
        <v>0.9</v>
      </c>
      <c r="L16" s="117">
        <v>0.75</v>
      </c>
      <c r="M16" s="117">
        <v>0.8</v>
      </c>
      <c r="N16" s="117" t="s">
        <v>305</v>
      </c>
      <c r="O16" s="117" t="s">
        <v>299</v>
      </c>
      <c r="P16" s="94">
        <v>43978</v>
      </c>
      <c r="Q16" s="94"/>
      <c r="R16" s="117"/>
    </row>
    <row r="17" spans="1:18" ht="20.399999999999999">
      <c r="A17" s="69" t="s">
        <v>978</v>
      </c>
      <c r="B17" s="70" t="s">
        <v>341</v>
      </c>
      <c r="C17" s="70" t="s">
        <v>16</v>
      </c>
      <c r="D17" s="3" t="s">
        <v>342</v>
      </c>
      <c r="E17" s="3" t="s">
        <v>381</v>
      </c>
      <c r="F17" s="3">
        <v>6</v>
      </c>
      <c r="G17" s="71" t="s">
        <v>755</v>
      </c>
      <c r="H17" s="72">
        <v>1969</v>
      </c>
      <c r="I17" s="72">
        <v>1978</v>
      </c>
      <c r="J17" s="117">
        <v>0.9</v>
      </c>
      <c r="K17" s="117">
        <v>0.9</v>
      </c>
      <c r="L17" s="117">
        <v>0.75</v>
      </c>
      <c r="M17" s="117">
        <v>0.8</v>
      </c>
      <c r="N17" s="117" t="s">
        <v>305</v>
      </c>
      <c r="O17" s="117" t="s">
        <v>299</v>
      </c>
      <c r="P17" s="94">
        <v>43978</v>
      </c>
      <c r="Q17" s="94"/>
      <c r="R17" s="117"/>
    </row>
    <row r="18" spans="1:18" ht="20.399999999999999">
      <c r="A18" s="69" t="s">
        <v>979</v>
      </c>
      <c r="B18" s="70" t="s">
        <v>341</v>
      </c>
      <c r="C18" s="70" t="s">
        <v>16</v>
      </c>
      <c r="D18" s="3" t="s">
        <v>342</v>
      </c>
      <c r="E18" s="3" t="s">
        <v>381</v>
      </c>
      <c r="F18" s="3">
        <v>7</v>
      </c>
      <c r="G18" s="71" t="s">
        <v>756</v>
      </c>
      <c r="H18" s="72">
        <v>1979</v>
      </c>
      <c r="I18" s="72">
        <v>1983</v>
      </c>
      <c r="J18" s="117">
        <v>0.9</v>
      </c>
      <c r="K18" s="117">
        <v>0.9</v>
      </c>
      <c r="L18" s="117">
        <v>0.75</v>
      </c>
      <c r="M18" s="117">
        <v>0.8</v>
      </c>
      <c r="N18" s="117" t="s">
        <v>305</v>
      </c>
      <c r="O18" s="117" t="s">
        <v>299</v>
      </c>
      <c r="P18" s="94">
        <v>43978</v>
      </c>
      <c r="Q18" s="94"/>
      <c r="R18" s="117"/>
    </row>
    <row r="19" spans="1:18" ht="20.399999999999999">
      <c r="A19" s="69" t="s">
        <v>980</v>
      </c>
      <c r="B19" s="70" t="s">
        <v>341</v>
      </c>
      <c r="C19" s="70" t="s">
        <v>16</v>
      </c>
      <c r="D19" s="3" t="s">
        <v>342</v>
      </c>
      <c r="E19" s="3" t="s">
        <v>381</v>
      </c>
      <c r="F19" s="3">
        <v>8</v>
      </c>
      <c r="G19" s="71" t="s">
        <v>757</v>
      </c>
      <c r="H19" s="72">
        <v>1984</v>
      </c>
      <c r="I19" s="72">
        <v>1994</v>
      </c>
      <c r="J19" s="117">
        <v>0.9</v>
      </c>
      <c r="K19" s="117">
        <v>0.9</v>
      </c>
      <c r="L19" s="117">
        <v>0.75</v>
      </c>
      <c r="M19" s="117">
        <v>0.8</v>
      </c>
      <c r="N19" s="117" t="s">
        <v>305</v>
      </c>
      <c r="O19" s="117" t="s">
        <v>299</v>
      </c>
      <c r="P19" s="94">
        <v>43978</v>
      </c>
      <c r="Q19" s="94"/>
      <c r="R19" s="117"/>
    </row>
    <row r="20" spans="1:18" ht="20.399999999999999">
      <c r="A20" s="69" t="s">
        <v>981</v>
      </c>
      <c r="B20" s="70" t="s">
        <v>341</v>
      </c>
      <c r="C20" s="70" t="s">
        <v>16</v>
      </c>
      <c r="D20" s="3" t="s">
        <v>342</v>
      </c>
      <c r="E20" s="3" t="s">
        <v>381</v>
      </c>
      <c r="F20" s="3">
        <v>9</v>
      </c>
      <c r="G20" s="71" t="s">
        <v>758</v>
      </c>
      <c r="H20" s="72">
        <v>1995</v>
      </c>
      <c r="I20" s="72">
        <v>2001</v>
      </c>
      <c r="J20" s="117">
        <v>0.9</v>
      </c>
      <c r="K20" s="117">
        <v>0.9</v>
      </c>
      <c r="L20" s="117">
        <v>0.75</v>
      </c>
      <c r="M20" s="117">
        <v>0.8</v>
      </c>
      <c r="N20" s="117" t="s">
        <v>305</v>
      </c>
      <c r="O20" s="117" t="s">
        <v>299</v>
      </c>
      <c r="P20" s="94">
        <v>43978</v>
      </c>
      <c r="Q20" s="94"/>
      <c r="R20" s="117"/>
    </row>
    <row r="21" spans="1:18" ht="20.399999999999999">
      <c r="A21" s="69" t="s">
        <v>982</v>
      </c>
      <c r="B21" s="70" t="s">
        <v>341</v>
      </c>
      <c r="C21" s="70" t="s">
        <v>16</v>
      </c>
      <c r="D21" s="3" t="s">
        <v>342</v>
      </c>
      <c r="E21" s="3" t="s">
        <v>381</v>
      </c>
      <c r="F21" s="3">
        <v>10</v>
      </c>
      <c r="G21" s="71" t="s">
        <v>759</v>
      </c>
      <c r="H21" s="72">
        <v>2002</v>
      </c>
      <c r="I21" s="72">
        <v>2009</v>
      </c>
      <c r="J21" s="117">
        <v>0.9</v>
      </c>
      <c r="K21" s="117">
        <v>0.9</v>
      </c>
      <c r="L21" s="117">
        <v>0.75</v>
      </c>
      <c r="M21" s="117">
        <v>0.8</v>
      </c>
      <c r="N21" s="117" t="s">
        <v>305</v>
      </c>
      <c r="O21" s="117" t="s">
        <v>299</v>
      </c>
      <c r="P21" s="94">
        <v>43978</v>
      </c>
      <c r="Q21" s="94"/>
      <c r="R21" s="117"/>
    </row>
    <row r="22" spans="1:18" ht="20.399999999999999">
      <c r="A22" s="69" t="s">
        <v>983</v>
      </c>
      <c r="B22" s="70" t="s">
        <v>341</v>
      </c>
      <c r="C22" s="70" t="s">
        <v>16</v>
      </c>
      <c r="D22" s="3" t="s">
        <v>342</v>
      </c>
      <c r="E22" s="3" t="s">
        <v>381</v>
      </c>
      <c r="F22" s="3">
        <v>11</v>
      </c>
      <c r="G22" s="71" t="s">
        <v>760</v>
      </c>
      <c r="H22" s="72">
        <v>2010</v>
      </c>
      <c r="I22" s="72">
        <v>2015</v>
      </c>
      <c r="J22" s="117">
        <v>0.9</v>
      </c>
      <c r="K22" s="117">
        <v>0.9</v>
      </c>
      <c r="L22" s="117">
        <v>0.75</v>
      </c>
      <c r="M22" s="117">
        <v>0.8</v>
      </c>
      <c r="N22" s="117" t="s">
        <v>305</v>
      </c>
      <c r="O22" s="117" t="s">
        <v>299</v>
      </c>
      <c r="P22" s="94">
        <v>43978</v>
      </c>
      <c r="Q22" s="94"/>
      <c r="R22" s="117"/>
    </row>
    <row r="23" spans="1:18" ht="20.399999999999999">
      <c r="A23" s="69" t="s">
        <v>984</v>
      </c>
      <c r="B23" s="70" t="s">
        <v>341</v>
      </c>
      <c r="C23" s="70" t="s">
        <v>16</v>
      </c>
      <c r="D23" s="3" t="s">
        <v>342</v>
      </c>
      <c r="E23" s="3" t="s">
        <v>381</v>
      </c>
      <c r="F23" s="3">
        <v>12</v>
      </c>
      <c r="G23" s="71" t="s">
        <v>761</v>
      </c>
      <c r="H23" s="72">
        <v>2016</v>
      </c>
      <c r="I23" s="72">
        <v>9999</v>
      </c>
      <c r="J23" s="117">
        <v>0.9</v>
      </c>
      <c r="K23" s="117">
        <v>0.9</v>
      </c>
      <c r="L23" s="117">
        <v>0.75</v>
      </c>
      <c r="M23" s="117">
        <v>0.8</v>
      </c>
      <c r="N23" s="117" t="s">
        <v>305</v>
      </c>
      <c r="O23" s="117" t="s">
        <v>299</v>
      </c>
      <c r="P23" s="94">
        <v>43978</v>
      </c>
      <c r="Q23" s="94"/>
      <c r="R23" s="117"/>
    </row>
    <row r="24" spans="1:18" ht="30.6">
      <c r="A24" s="69" t="s">
        <v>985</v>
      </c>
      <c r="B24" s="70" t="s">
        <v>341</v>
      </c>
      <c r="C24" s="70" t="s">
        <v>16</v>
      </c>
      <c r="D24" s="3" t="s">
        <v>342</v>
      </c>
      <c r="E24" s="3" t="s">
        <v>382</v>
      </c>
      <c r="F24" s="3">
        <v>1</v>
      </c>
      <c r="G24" s="71" t="s">
        <v>750</v>
      </c>
      <c r="H24" s="72">
        <v>0</v>
      </c>
      <c r="I24" s="72">
        <v>1859</v>
      </c>
      <c r="J24" s="117">
        <v>0.53</v>
      </c>
      <c r="K24" s="117">
        <v>0.53</v>
      </c>
      <c r="L24" s="117">
        <v>0.26</v>
      </c>
      <c r="M24" s="117">
        <v>0.13</v>
      </c>
      <c r="N24" s="117" t="s">
        <v>306</v>
      </c>
      <c r="O24" s="117" t="s">
        <v>300</v>
      </c>
      <c r="P24" s="94">
        <v>43978</v>
      </c>
      <c r="Q24" s="94"/>
      <c r="R24" s="117"/>
    </row>
    <row r="25" spans="1:18" ht="30.6">
      <c r="A25" s="69" t="s">
        <v>986</v>
      </c>
      <c r="B25" s="70" t="s">
        <v>341</v>
      </c>
      <c r="C25" s="70" t="s">
        <v>16</v>
      </c>
      <c r="D25" s="3" t="s">
        <v>342</v>
      </c>
      <c r="E25" s="3" t="s">
        <v>382</v>
      </c>
      <c r="F25" s="3">
        <v>2</v>
      </c>
      <c r="G25" s="71" t="s">
        <v>751</v>
      </c>
      <c r="H25" s="72">
        <v>1860</v>
      </c>
      <c r="I25" s="72">
        <v>1918</v>
      </c>
      <c r="J25" s="117">
        <v>0.53</v>
      </c>
      <c r="K25" s="117">
        <v>0.53</v>
      </c>
      <c r="L25" s="117">
        <v>0.26</v>
      </c>
      <c r="M25" s="117">
        <v>0.13</v>
      </c>
      <c r="N25" s="117" t="s">
        <v>306</v>
      </c>
      <c r="O25" s="117" t="s">
        <v>300</v>
      </c>
      <c r="P25" s="94">
        <v>43978</v>
      </c>
      <c r="Q25" s="94"/>
      <c r="R25" s="117"/>
    </row>
    <row r="26" spans="1:18" ht="30.6">
      <c r="A26" s="69" t="s">
        <v>987</v>
      </c>
      <c r="B26" s="70" t="s">
        <v>341</v>
      </c>
      <c r="C26" s="70" t="s">
        <v>16</v>
      </c>
      <c r="D26" s="3" t="s">
        <v>342</v>
      </c>
      <c r="E26" s="3" t="s">
        <v>382</v>
      </c>
      <c r="F26" s="3">
        <v>3</v>
      </c>
      <c r="G26" s="71" t="s">
        <v>752</v>
      </c>
      <c r="H26" s="72">
        <v>1919</v>
      </c>
      <c r="I26" s="72">
        <v>1948</v>
      </c>
      <c r="J26" s="117">
        <v>0.53</v>
      </c>
      <c r="K26" s="117">
        <v>0.53</v>
      </c>
      <c r="L26" s="117">
        <v>0.26</v>
      </c>
      <c r="M26" s="117">
        <v>0.13</v>
      </c>
      <c r="N26" s="117" t="s">
        <v>306</v>
      </c>
      <c r="O26" s="117" t="s">
        <v>300</v>
      </c>
      <c r="P26" s="94">
        <v>43978</v>
      </c>
      <c r="Q26" s="94"/>
      <c r="R26" s="117"/>
    </row>
    <row r="27" spans="1:18" ht="30.6">
      <c r="A27" s="69" t="s">
        <v>988</v>
      </c>
      <c r="B27" s="70" t="s">
        <v>341</v>
      </c>
      <c r="C27" s="70" t="s">
        <v>16</v>
      </c>
      <c r="D27" s="3" t="s">
        <v>342</v>
      </c>
      <c r="E27" s="3" t="s">
        <v>382</v>
      </c>
      <c r="F27" s="3">
        <v>4</v>
      </c>
      <c r="G27" s="71" t="s">
        <v>753</v>
      </c>
      <c r="H27" s="72">
        <v>1949</v>
      </c>
      <c r="I27" s="72">
        <v>1957</v>
      </c>
      <c r="J27" s="117">
        <v>0.53</v>
      </c>
      <c r="K27" s="117">
        <v>0.53</v>
      </c>
      <c r="L27" s="117">
        <v>0.26</v>
      </c>
      <c r="M27" s="117">
        <v>0.13</v>
      </c>
      <c r="N27" s="117" t="s">
        <v>306</v>
      </c>
      <c r="O27" s="117" t="s">
        <v>300</v>
      </c>
      <c r="P27" s="94">
        <v>43978</v>
      </c>
      <c r="Q27" s="94"/>
      <c r="R27" s="117"/>
    </row>
    <row r="28" spans="1:18" ht="30.6">
      <c r="A28" s="69" t="s">
        <v>989</v>
      </c>
      <c r="B28" s="70" t="s">
        <v>341</v>
      </c>
      <c r="C28" s="70" t="s">
        <v>16</v>
      </c>
      <c r="D28" s="3" t="s">
        <v>342</v>
      </c>
      <c r="E28" s="3" t="s">
        <v>382</v>
      </c>
      <c r="F28" s="3">
        <v>5</v>
      </c>
      <c r="G28" s="71" t="s">
        <v>754</v>
      </c>
      <c r="H28" s="72">
        <v>1958</v>
      </c>
      <c r="I28" s="72">
        <v>1968</v>
      </c>
      <c r="J28" s="117">
        <v>0.53</v>
      </c>
      <c r="K28" s="117">
        <v>0.53</v>
      </c>
      <c r="L28" s="117">
        <v>0.26</v>
      </c>
      <c r="M28" s="117">
        <v>0.13</v>
      </c>
      <c r="N28" s="117" t="s">
        <v>306</v>
      </c>
      <c r="O28" s="117" t="s">
        <v>300</v>
      </c>
      <c r="P28" s="94">
        <v>43978</v>
      </c>
      <c r="Q28" s="94"/>
      <c r="R28" s="117"/>
    </row>
    <row r="29" spans="1:18" ht="30.6">
      <c r="A29" s="69" t="s">
        <v>990</v>
      </c>
      <c r="B29" s="70" t="s">
        <v>341</v>
      </c>
      <c r="C29" s="70" t="s">
        <v>16</v>
      </c>
      <c r="D29" s="3" t="s">
        <v>342</v>
      </c>
      <c r="E29" s="3" t="s">
        <v>382</v>
      </c>
      <c r="F29" s="3">
        <v>6</v>
      </c>
      <c r="G29" s="71" t="s">
        <v>755</v>
      </c>
      <c r="H29" s="72">
        <v>1969</v>
      </c>
      <c r="I29" s="72">
        <v>1978</v>
      </c>
      <c r="J29" s="117">
        <v>0.53</v>
      </c>
      <c r="K29" s="117">
        <v>0.53</v>
      </c>
      <c r="L29" s="117">
        <v>0.26</v>
      </c>
      <c r="M29" s="117">
        <v>0.13</v>
      </c>
      <c r="N29" s="117" t="s">
        <v>306</v>
      </c>
      <c r="O29" s="117" t="s">
        <v>300</v>
      </c>
      <c r="P29" s="94">
        <v>43978</v>
      </c>
      <c r="Q29" s="94"/>
      <c r="R29" s="117"/>
    </row>
    <row r="30" spans="1:18" ht="30.6">
      <c r="A30" s="69" t="s">
        <v>991</v>
      </c>
      <c r="B30" s="70" t="s">
        <v>341</v>
      </c>
      <c r="C30" s="70" t="s">
        <v>16</v>
      </c>
      <c r="D30" s="3" t="s">
        <v>342</v>
      </c>
      <c r="E30" s="3" t="s">
        <v>382</v>
      </c>
      <c r="F30" s="3">
        <v>7</v>
      </c>
      <c r="G30" s="71" t="s">
        <v>756</v>
      </c>
      <c r="H30" s="72">
        <v>1979</v>
      </c>
      <c r="I30" s="72">
        <v>1983</v>
      </c>
      <c r="J30" s="117">
        <v>0.19</v>
      </c>
      <c r="K30" s="117">
        <v>0.19</v>
      </c>
      <c r="L30" s="117">
        <v>0.1</v>
      </c>
      <c r="M30" s="117">
        <v>0.05</v>
      </c>
      <c r="N30" s="117" t="s">
        <v>306</v>
      </c>
      <c r="O30" s="117" t="s">
        <v>300</v>
      </c>
      <c r="P30" s="94">
        <v>43978</v>
      </c>
      <c r="Q30" s="94">
        <v>44249</v>
      </c>
      <c r="R30" s="117"/>
    </row>
    <row r="31" spans="1:18" ht="30.6">
      <c r="A31" s="69" t="s">
        <v>992</v>
      </c>
      <c r="B31" s="70" t="s">
        <v>341</v>
      </c>
      <c r="C31" s="70" t="s">
        <v>16</v>
      </c>
      <c r="D31" s="3" t="s">
        <v>342</v>
      </c>
      <c r="E31" s="3" t="s">
        <v>382</v>
      </c>
      <c r="F31" s="3">
        <v>8</v>
      </c>
      <c r="G31" s="71" t="s">
        <v>757</v>
      </c>
      <c r="H31" s="72">
        <v>1984</v>
      </c>
      <c r="I31" s="72">
        <v>1994</v>
      </c>
      <c r="J31" s="117">
        <v>0.19</v>
      </c>
      <c r="K31" s="117">
        <v>0.19</v>
      </c>
      <c r="L31" s="117">
        <v>0.1</v>
      </c>
      <c r="M31" s="117">
        <v>0.05</v>
      </c>
      <c r="N31" s="117" t="s">
        <v>306</v>
      </c>
      <c r="O31" s="117" t="s">
        <v>300</v>
      </c>
      <c r="P31" s="94">
        <v>43978</v>
      </c>
      <c r="Q31" s="94">
        <v>44249</v>
      </c>
      <c r="R31" s="117"/>
    </row>
    <row r="32" spans="1:18" ht="30.6">
      <c r="A32" s="69" t="s">
        <v>993</v>
      </c>
      <c r="B32" s="70" t="s">
        <v>341</v>
      </c>
      <c r="C32" s="70" t="s">
        <v>16</v>
      </c>
      <c r="D32" s="3" t="s">
        <v>342</v>
      </c>
      <c r="E32" s="3" t="s">
        <v>382</v>
      </c>
      <c r="F32" s="3">
        <v>9</v>
      </c>
      <c r="G32" s="71" t="s">
        <v>758</v>
      </c>
      <c r="H32" s="72">
        <v>1995</v>
      </c>
      <c r="I32" s="72">
        <v>2001</v>
      </c>
      <c r="J32" s="117">
        <v>0.04</v>
      </c>
      <c r="K32" s="117">
        <v>0.04</v>
      </c>
      <c r="L32" s="117">
        <v>0.02</v>
      </c>
      <c r="M32" s="117">
        <v>0.02</v>
      </c>
      <c r="N32" s="117" t="s">
        <v>306</v>
      </c>
      <c r="O32" s="117" t="s">
        <v>300</v>
      </c>
      <c r="P32" s="94">
        <v>43978</v>
      </c>
      <c r="Q32" s="94">
        <v>44249</v>
      </c>
      <c r="R32" s="117"/>
    </row>
    <row r="33" spans="1:18" ht="30.6">
      <c r="A33" s="69" t="s">
        <v>994</v>
      </c>
      <c r="B33" s="70" t="s">
        <v>341</v>
      </c>
      <c r="C33" s="70" t="s">
        <v>16</v>
      </c>
      <c r="D33" s="3" t="s">
        <v>342</v>
      </c>
      <c r="E33" s="3" t="s">
        <v>382</v>
      </c>
      <c r="F33" s="3">
        <v>10</v>
      </c>
      <c r="G33" s="71" t="s">
        <v>759</v>
      </c>
      <c r="H33" s="72">
        <v>2002</v>
      </c>
      <c r="I33" s="72">
        <v>2009</v>
      </c>
      <c r="J33" s="117">
        <v>0.04</v>
      </c>
      <c r="K33" s="117">
        <v>0.04</v>
      </c>
      <c r="L33" s="117">
        <v>0.02</v>
      </c>
      <c r="M33" s="117">
        <v>0.02</v>
      </c>
      <c r="N33" s="117" t="s">
        <v>306</v>
      </c>
      <c r="O33" s="117" t="s">
        <v>300</v>
      </c>
      <c r="P33" s="94">
        <v>43978</v>
      </c>
      <c r="Q33" s="94">
        <v>44249</v>
      </c>
      <c r="R33" s="117"/>
    </row>
    <row r="34" spans="1:18" ht="30.6">
      <c r="A34" s="69" t="s">
        <v>995</v>
      </c>
      <c r="B34" s="70" t="s">
        <v>341</v>
      </c>
      <c r="C34" s="70" t="s">
        <v>16</v>
      </c>
      <c r="D34" s="3" t="s">
        <v>342</v>
      </c>
      <c r="E34" s="3" t="s">
        <v>382</v>
      </c>
      <c r="F34" s="3">
        <v>11</v>
      </c>
      <c r="G34" s="71" t="s">
        <v>760</v>
      </c>
      <c r="H34" s="72">
        <v>2010</v>
      </c>
      <c r="I34" s="72">
        <v>2015</v>
      </c>
      <c r="J34" s="117">
        <v>0</v>
      </c>
      <c r="K34" s="117">
        <v>0</v>
      </c>
      <c r="L34" s="117">
        <v>0</v>
      </c>
      <c r="M34" s="117">
        <v>0</v>
      </c>
      <c r="N34" s="117" t="s">
        <v>306</v>
      </c>
      <c r="O34" s="117" t="s">
        <v>300</v>
      </c>
      <c r="P34" s="94">
        <v>43978</v>
      </c>
      <c r="Q34" s="94"/>
      <c r="R34" s="117"/>
    </row>
    <row r="35" spans="1:18" ht="30.6">
      <c r="A35" s="69" t="s">
        <v>996</v>
      </c>
      <c r="B35" s="70" t="s">
        <v>341</v>
      </c>
      <c r="C35" s="70" t="s">
        <v>16</v>
      </c>
      <c r="D35" s="3" t="s">
        <v>342</v>
      </c>
      <c r="E35" s="3" t="s">
        <v>382</v>
      </c>
      <c r="F35" s="3">
        <v>12</v>
      </c>
      <c r="G35" s="71" t="s">
        <v>761</v>
      </c>
      <c r="H35" s="72">
        <v>2016</v>
      </c>
      <c r="I35" s="72">
        <v>9999</v>
      </c>
      <c r="J35" s="117">
        <v>0</v>
      </c>
      <c r="K35" s="117">
        <v>0</v>
      </c>
      <c r="L35" s="117">
        <v>0</v>
      </c>
      <c r="M35" s="117">
        <v>0</v>
      </c>
      <c r="N35" s="117" t="s">
        <v>306</v>
      </c>
      <c r="O35" s="117" t="s">
        <v>300</v>
      </c>
      <c r="P35" s="94">
        <v>43978</v>
      </c>
      <c r="Q35" s="94"/>
      <c r="R35" s="117"/>
    </row>
    <row r="36" spans="1:18" ht="30.6">
      <c r="A36" s="69" t="s">
        <v>997</v>
      </c>
      <c r="B36" s="70" t="s">
        <v>341</v>
      </c>
      <c r="C36" s="70" t="s">
        <v>16</v>
      </c>
      <c r="D36" s="3" t="s">
        <v>342</v>
      </c>
      <c r="E36" s="3" t="s">
        <v>383</v>
      </c>
      <c r="F36" s="3">
        <v>1</v>
      </c>
      <c r="G36" s="71" t="s">
        <v>750</v>
      </c>
      <c r="H36" s="72">
        <v>0</v>
      </c>
      <c r="I36" s="72">
        <v>1859</v>
      </c>
      <c r="J36" s="117">
        <v>0.62</v>
      </c>
      <c r="K36" s="117">
        <v>0.62</v>
      </c>
      <c r="L36" s="117">
        <v>0.37</v>
      </c>
      <c r="M36" s="117">
        <v>0.19</v>
      </c>
      <c r="N36" s="117" t="s">
        <v>307</v>
      </c>
      <c r="O36" s="117" t="s">
        <v>301</v>
      </c>
      <c r="P36" s="94">
        <v>43978</v>
      </c>
      <c r="Q36" s="94"/>
      <c r="R36" s="117"/>
    </row>
    <row r="37" spans="1:18" ht="30.6">
      <c r="A37" s="69" t="s">
        <v>998</v>
      </c>
      <c r="B37" s="70" t="s">
        <v>341</v>
      </c>
      <c r="C37" s="70" t="s">
        <v>16</v>
      </c>
      <c r="D37" s="3" t="s">
        <v>342</v>
      </c>
      <c r="E37" s="3" t="s">
        <v>383</v>
      </c>
      <c r="F37" s="3">
        <v>2</v>
      </c>
      <c r="G37" s="71" t="s">
        <v>751</v>
      </c>
      <c r="H37" s="72">
        <v>1860</v>
      </c>
      <c r="I37" s="72">
        <v>1918</v>
      </c>
      <c r="J37" s="117">
        <v>0.62</v>
      </c>
      <c r="K37" s="117">
        <v>0.62</v>
      </c>
      <c r="L37" s="117">
        <v>0.37</v>
      </c>
      <c r="M37" s="117">
        <v>0.19</v>
      </c>
      <c r="N37" s="117" t="s">
        <v>307</v>
      </c>
      <c r="O37" s="117" t="s">
        <v>301</v>
      </c>
      <c r="P37" s="94">
        <v>43978</v>
      </c>
      <c r="Q37" s="94"/>
      <c r="R37" s="117"/>
    </row>
    <row r="38" spans="1:18" ht="30.6">
      <c r="A38" s="69" t="s">
        <v>999</v>
      </c>
      <c r="B38" s="70" t="s">
        <v>341</v>
      </c>
      <c r="C38" s="70" t="s">
        <v>16</v>
      </c>
      <c r="D38" s="3" t="s">
        <v>342</v>
      </c>
      <c r="E38" s="3" t="s">
        <v>383</v>
      </c>
      <c r="F38" s="3">
        <v>3</v>
      </c>
      <c r="G38" s="71" t="s">
        <v>752</v>
      </c>
      <c r="H38" s="72">
        <v>1919</v>
      </c>
      <c r="I38" s="72">
        <v>1948</v>
      </c>
      <c r="J38" s="117">
        <v>0.62</v>
      </c>
      <c r="K38" s="117">
        <v>0.62</v>
      </c>
      <c r="L38" s="117">
        <v>0.37</v>
      </c>
      <c r="M38" s="117">
        <v>0.19</v>
      </c>
      <c r="N38" s="117" t="s">
        <v>307</v>
      </c>
      <c r="O38" s="117" t="s">
        <v>301</v>
      </c>
      <c r="P38" s="94">
        <v>43978</v>
      </c>
      <c r="Q38" s="94"/>
      <c r="R38" s="117"/>
    </row>
    <row r="39" spans="1:18" ht="30.6">
      <c r="A39" s="69" t="s">
        <v>1000</v>
      </c>
      <c r="B39" s="70" t="s">
        <v>341</v>
      </c>
      <c r="C39" s="70" t="s">
        <v>16</v>
      </c>
      <c r="D39" s="3" t="s">
        <v>342</v>
      </c>
      <c r="E39" s="3" t="s">
        <v>383</v>
      </c>
      <c r="F39" s="3">
        <v>4</v>
      </c>
      <c r="G39" s="71" t="s">
        <v>753</v>
      </c>
      <c r="H39" s="72">
        <v>1949</v>
      </c>
      <c r="I39" s="72">
        <v>1957</v>
      </c>
      <c r="J39" s="117">
        <v>0.62</v>
      </c>
      <c r="K39" s="117">
        <v>0.62</v>
      </c>
      <c r="L39" s="117">
        <v>0.37</v>
      </c>
      <c r="M39" s="117">
        <v>0.19</v>
      </c>
      <c r="N39" s="117" t="s">
        <v>307</v>
      </c>
      <c r="O39" s="117" t="s">
        <v>301</v>
      </c>
      <c r="P39" s="94">
        <v>43978</v>
      </c>
      <c r="Q39" s="94"/>
      <c r="R39" s="117"/>
    </row>
    <row r="40" spans="1:18" ht="30.6">
      <c r="A40" s="69" t="s">
        <v>1001</v>
      </c>
      <c r="B40" s="70" t="s">
        <v>341</v>
      </c>
      <c r="C40" s="70" t="s">
        <v>16</v>
      </c>
      <c r="D40" s="3" t="s">
        <v>342</v>
      </c>
      <c r="E40" s="3" t="s">
        <v>383</v>
      </c>
      <c r="F40" s="3">
        <v>5</v>
      </c>
      <c r="G40" s="71" t="s">
        <v>754</v>
      </c>
      <c r="H40" s="72">
        <v>1958</v>
      </c>
      <c r="I40" s="72">
        <v>1968</v>
      </c>
      <c r="J40" s="117">
        <v>0.62</v>
      </c>
      <c r="K40" s="117">
        <v>0.62</v>
      </c>
      <c r="L40" s="117">
        <v>0.37</v>
      </c>
      <c r="M40" s="117">
        <v>0.19</v>
      </c>
      <c r="N40" s="117" t="s">
        <v>307</v>
      </c>
      <c r="O40" s="117" t="s">
        <v>301</v>
      </c>
      <c r="P40" s="94">
        <v>43978</v>
      </c>
      <c r="Q40" s="94"/>
      <c r="R40" s="117"/>
    </row>
    <row r="41" spans="1:18" ht="30.6">
      <c r="A41" s="69" t="s">
        <v>1002</v>
      </c>
      <c r="B41" s="70" t="s">
        <v>341</v>
      </c>
      <c r="C41" s="70" t="s">
        <v>16</v>
      </c>
      <c r="D41" s="3" t="s">
        <v>342</v>
      </c>
      <c r="E41" s="3" t="s">
        <v>383</v>
      </c>
      <c r="F41" s="3">
        <v>6</v>
      </c>
      <c r="G41" s="71" t="s">
        <v>755</v>
      </c>
      <c r="H41" s="72">
        <v>1969</v>
      </c>
      <c r="I41" s="72">
        <v>1978</v>
      </c>
      <c r="J41" s="117">
        <v>0.62</v>
      </c>
      <c r="K41" s="117">
        <v>0.62</v>
      </c>
      <c r="L41" s="117">
        <v>0.37</v>
      </c>
      <c r="M41" s="117">
        <v>0.19</v>
      </c>
      <c r="N41" s="117" t="s">
        <v>307</v>
      </c>
      <c r="O41" s="117" t="s">
        <v>301</v>
      </c>
      <c r="P41" s="94">
        <v>43978</v>
      </c>
      <c r="Q41" s="94"/>
      <c r="R41" s="117"/>
    </row>
    <row r="42" spans="1:18" ht="30.6">
      <c r="A42" s="69" t="s">
        <v>1003</v>
      </c>
      <c r="B42" s="70" t="s">
        <v>341</v>
      </c>
      <c r="C42" s="70" t="s">
        <v>16</v>
      </c>
      <c r="D42" s="3" t="s">
        <v>342</v>
      </c>
      <c r="E42" s="3" t="s">
        <v>383</v>
      </c>
      <c r="F42" s="3">
        <v>7</v>
      </c>
      <c r="G42" s="71" t="s">
        <v>756</v>
      </c>
      <c r="H42" s="72">
        <v>1979</v>
      </c>
      <c r="I42" s="72">
        <v>1983</v>
      </c>
      <c r="J42" s="117">
        <v>0.19</v>
      </c>
      <c r="K42" s="117">
        <v>0.19</v>
      </c>
      <c r="L42" s="117">
        <v>0.1</v>
      </c>
      <c r="M42" s="117">
        <v>0.05</v>
      </c>
      <c r="N42" s="117" t="s">
        <v>307</v>
      </c>
      <c r="O42" s="117" t="s">
        <v>301</v>
      </c>
      <c r="P42" s="94">
        <v>43978</v>
      </c>
      <c r="Q42" s="94">
        <v>44249</v>
      </c>
      <c r="R42" s="117"/>
    </row>
    <row r="43" spans="1:18" ht="30.6">
      <c r="A43" s="69" t="s">
        <v>1004</v>
      </c>
      <c r="B43" s="70" t="s">
        <v>341</v>
      </c>
      <c r="C43" s="70" t="s">
        <v>16</v>
      </c>
      <c r="D43" s="3" t="s">
        <v>342</v>
      </c>
      <c r="E43" s="3" t="s">
        <v>383</v>
      </c>
      <c r="F43" s="3">
        <v>8</v>
      </c>
      <c r="G43" s="71" t="s">
        <v>757</v>
      </c>
      <c r="H43" s="72">
        <v>1984</v>
      </c>
      <c r="I43" s="72">
        <v>1994</v>
      </c>
      <c r="J43" s="117">
        <v>0.19</v>
      </c>
      <c r="K43" s="117">
        <v>0.19</v>
      </c>
      <c r="L43" s="117">
        <v>0.1</v>
      </c>
      <c r="M43" s="117">
        <v>0.05</v>
      </c>
      <c r="N43" s="117" t="s">
        <v>307</v>
      </c>
      <c r="O43" s="117" t="s">
        <v>301</v>
      </c>
      <c r="P43" s="94">
        <v>43978</v>
      </c>
      <c r="Q43" s="94">
        <v>44249</v>
      </c>
      <c r="R43" s="117"/>
    </row>
    <row r="44" spans="1:18" ht="30.6">
      <c r="A44" s="69" t="s">
        <v>1005</v>
      </c>
      <c r="B44" s="70" t="s">
        <v>341</v>
      </c>
      <c r="C44" s="70" t="s">
        <v>16</v>
      </c>
      <c r="D44" s="3" t="s">
        <v>342</v>
      </c>
      <c r="E44" s="3" t="s">
        <v>383</v>
      </c>
      <c r="F44" s="3">
        <v>9</v>
      </c>
      <c r="G44" s="71" t="s">
        <v>758</v>
      </c>
      <c r="H44" s="72">
        <v>1995</v>
      </c>
      <c r="I44" s="72">
        <v>2001</v>
      </c>
      <c r="J44" s="117">
        <v>0.04</v>
      </c>
      <c r="K44" s="117">
        <v>0.04</v>
      </c>
      <c r="L44" s="117">
        <v>0.02</v>
      </c>
      <c r="M44" s="117">
        <v>0.02</v>
      </c>
      <c r="N44" s="117" t="s">
        <v>307</v>
      </c>
      <c r="O44" s="117" t="s">
        <v>301</v>
      </c>
      <c r="P44" s="94">
        <v>43978</v>
      </c>
      <c r="Q44" s="94">
        <v>44249</v>
      </c>
      <c r="R44" s="117"/>
    </row>
    <row r="45" spans="1:18" ht="30.6">
      <c r="A45" s="69" t="s">
        <v>1006</v>
      </c>
      <c r="B45" s="70" t="s">
        <v>341</v>
      </c>
      <c r="C45" s="70" t="s">
        <v>16</v>
      </c>
      <c r="D45" s="3" t="s">
        <v>342</v>
      </c>
      <c r="E45" s="3" t="s">
        <v>383</v>
      </c>
      <c r="F45" s="3">
        <v>10</v>
      </c>
      <c r="G45" s="71" t="s">
        <v>759</v>
      </c>
      <c r="H45" s="72">
        <v>2002</v>
      </c>
      <c r="I45" s="72">
        <v>2009</v>
      </c>
      <c r="J45" s="117">
        <v>0.04</v>
      </c>
      <c r="K45" s="117">
        <v>0.04</v>
      </c>
      <c r="L45" s="117">
        <v>0.02</v>
      </c>
      <c r="M45" s="117">
        <v>0.02</v>
      </c>
      <c r="N45" s="117" t="s">
        <v>307</v>
      </c>
      <c r="O45" s="117" t="s">
        <v>301</v>
      </c>
      <c r="P45" s="94">
        <v>43978</v>
      </c>
      <c r="Q45" s="94">
        <v>44249</v>
      </c>
      <c r="R45" s="117"/>
    </row>
    <row r="46" spans="1:18" ht="30.6">
      <c r="A46" s="69" t="s">
        <v>1007</v>
      </c>
      <c r="B46" s="70" t="s">
        <v>341</v>
      </c>
      <c r="C46" s="70" t="s">
        <v>16</v>
      </c>
      <c r="D46" s="3" t="s">
        <v>342</v>
      </c>
      <c r="E46" s="3" t="s">
        <v>383</v>
      </c>
      <c r="F46" s="3">
        <v>11</v>
      </c>
      <c r="G46" s="71" t="s">
        <v>760</v>
      </c>
      <c r="H46" s="72">
        <v>2010</v>
      </c>
      <c r="I46" s="72">
        <v>2015</v>
      </c>
      <c r="J46" s="117">
        <v>0</v>
      </c>
      <c r="K46" s="117">
        <v>0</v>
      </c>
      <c r="L46" s="117">
        <v>0</v>
      </c>
      <c r="M46" s="117">
        <v>0</v>
      </c>
      <c r="N46" s="117" t="s">
        <v>307</v>
      </c>
      <c r="O46" s="117" t="s">
        <v>301</v>
      </c>
      <c r="P46" s="94">
        <v>43978</v>
      </c>
      <c r="Q46" s="94"/>
      <c r="R46" s="117"/>
    </row>
    <row r="47" spans="1:18" ht="30.6">
      <c r="A47" s="69" t="s">
        <v>1008</v>
      </c>
      <c r="B47" s="70" t="s">
        <v>341</v>
      </c>
      <c r="C47" s="70" t="s">
        <v>16</v>
      </c>
      <c r="D47" s="3" t="s">
        <v>342</v>
      </c>
      <c r="E47" s="3" t="s">
        <v>383</v>
      </c>
      <c r="F47" s="3">
        <v>12</v>
      </c>
      <c r="G47" s="71" t="s">
        <v>761</v>
      </c>
      <c r="H47" s="72">
        <v>2016</v>
      </c>
      <c r="I47" s="72">
        <v>9999</v>
      </c>
      <c r="J47" s="117">
        <v>0</v>
      </c>
      <c r="K47" s="117">
        <v>0</v>
      </c>
      <c r="L47" s="117">
        <v>0</v>
      </c>
      <c r="M47" s="117">
        <v>0</v>
      </c>
      <c r="N47" s="117" t="s">
        <v>307</v>
      </c>
      <c r="O47" s="117" t="s">
        <v>301</v>
      </c>
      <c r="P47" s="94">
        <v>43978</v>
      </c>
      <c r="Q47" s="94"/>
      <c r="R47" s="117"/>
    </row>
    <row r="48" spans="1:18">
      <c r="A48" s="69"/>
      <c r="B48" s="70"/>
      <c r="C48" s="70"/>
      <c r="D48" s="3"/>
      <c r="E48" s="3"/>
      <c r="F48" s="3"/>
      <c r="G48" s="71" t="s">
        <v>968</v>
      </c>
      <c r="H48" s="72" t="e">
        <v>#N/A</v>
      </c>
      <c r="I48" s="72" t="e">
        <v>#N/A</v>
      </c>
      <c r="J48" s="117"/>
      <c r="K48" s="117"/>
      <c r="L48" s="117"/>
      <c r="M48" s="117"/>
      <c r="N48" s="117"/>
      <c r="O48" s="117"/>
      <c r="P48" s="94"/>
      <c r="Q48" s="94"/>
      <c r="R48" s="117"/>
    </row>
    <row r="49" spans="1:18">
      <c r="A49" s="69"/>
      <c r="B49" s="70"/>
      <c r="C49" s="70"/>
      <c r="D49" s="3"/>
      <c r="E49" s="3"/>
      <c r="F49" s="3"/>
      <c r="G49" s="71" t="s">
        <v>968</v>
      </c>
      <c r="H49" s="72" t="e">
        <v>#N/A</v>
      </c>
      <c r="I49" s="72" t="e">
        <v>#N/A</v>
      </c>
      <c r="J49" s="117"/>
      <c r="K49" s="117"/>
      <c r="L49" s="117"/>
      <c r="M49" s="117"/>
      <c r="N49" s="117"/>
      <c r="O49" s="117"/>
      <c r="P49" s="94"/>
      <c r="Q49" s="94"/>
      <c r="R49" s="117"/>
    </row>
    <row r="50" spans="1:18">
      <c r="A50" s="69"/>
      <c r="B50" s="70"/>
      <c r="C50" s="70"/>
      <c r="D50" s="3"/>
      <c r="E50" s="3"/>
      <c r="F50" s="3"/>
      <c r="G50" s="71" t="s">
        <v>968</v>
      </c>
      <c r="H50" s="72" t="e">
        <v>#N/A</v>
      </c>
      <c r="I50" s="72" t="e">
        <v>#N/A</v>
      </c>
      <c r="J50" s="117"/>
      <c r="K50" s="117"/>
      <c r="L50" s="117"/>
      <c r="M50" s="117"/>
      <c r="N50" s="117"/>
      <c r="O50" s="117"/>
      <c r="P50" s="94"/>
      <c r="Q50" s="94"/>
      <c r="R50" s="117"/>
    </row>
  </sheetData>
  <conditionalFormatting sqref="J7:J10">
    <cfRule type="cellIs" dxfId="3" priority="3" stopIfTrue="1" operator="equal">
      <formula>#REF!</formula>
    </cfRule>
  </conditionalFormatting>
  <conditionalFormatting sqref="G7:H10">
    <cfRule type="cellIs" dxfId="2" priority="2" stopIfTrue="1" operator="equal">
      <formula>#REF!</formula>
    </cfRule>
  </conditionalFormatting>
  <conditionalFormatting sqref="I7:I10">
    <cfRule type="cellIs" dxfId="1" priority="1" stopIfTrue="1" operator="equal">
      <formula>#REF!</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8"/>
  <sheetViews>
    <sheetView showGridLines="0" zoomScale="80" zoomScaleNormal="80" workbookViewId="0">
      <pane xSplit="1" ySplit="10" topLeftCell="B11" activePane="bottomRight" state="frozen"/>
      <selection activeCell="C24" sqref="C24"/>
      <selection pane="topRight" activeCell="C24" sqref="C24"/>
      <selection pane="bottomLeft" activeCell="C24" sqref="C24"/>
      <selection pane="bottomRight" activeCell="B11" sqref="B11"/>
    </sheetView>
  </sheetViews>
  <sheetFormatPr baseColWidth="10" defaultColWidth="31.7109375" defaultRowHeight="10.199999999999999" outlineLevelRow="1"/>
  <cols>
    <col min="1" max="1" width="50" style="84" customWidth="1"/>
    <col min="2" max="2" width="16.7109375" style="84" customWidth="1"/>
    <col min="3" max="3" width="12.42578125" style="93" customWidth="1"/>
    <col min="4" max="4" width="13.140625" style="84" customWidth="1"/>
    <col min="5" max="5" width="28.7109375" style="84" customWidth="1"/>
    <col min="6" max="6" width="12.42578125" style="84" customWidth="1"/>
    <col min="7" max="8" width="57.5703125" style="84" customWidth="1"/>
    <col min="9" max="19" width="12.42578125" style="84" customWidth="1"/>
    <col min="20" max="24" width="42.85546875" style="84" customWidth="1"/>
    <col min="25" max="26" width="12.42578125" style="84" customWidth="1"/>
    <col min="27" max="27" width="42.85546875" style="84" customWidth="1"/>
    <col min="28" max="16384" width="31.7109375" style="84"/>
  </cols>
  <sheetData>
    <row r="1" spans="1:27" s="78" customFormat="1" ht="30.6">
      <c r="A1" s="1" t="s">
        <v>87</v>
      </c>
      <c r="B1" s="1" t="s">
        <v>13</v>
      </c>
      <c r="C1" s="1" t="s">
        <v>15</v>
      </c>
      <c r="D1" s="1" t="s">
        <v>17</v>
      </c>
      <c r="E1" s="1" t="s">
        <v>88</v>
      </c>
      <c r="F1" s="1" t="s">
        <v>89</v>
      </c>
      <c r="G1" s="1" t="s">
        <v>210</v>
      </c>
      <c r="H1" s="1" t="s">
        <v>211</v>
      </c>
      <c r="I1" s="1" t="s">
        <v>71</v>
      </c>
      <c r="J1" s="1" t="s">
        <v>72</v>
      </c>
      <c r="K1" s="1" t="s">
        <v>73</v>
      </c>
      <c r="L1" s="1" t="s">
        <v>74</v>
      </c>
      <c r="M1" s="1" t="s">
        <v>384</v>
      </c>
      <c r="N1" s="1" t="s">
        <v>75</v>
      </c>
      <c r="O1" s="1" t="s">
        <v>76</v>
      </c>
      <c r="P1" s="1" t="s">
        <v>77</v>
      </c>
      <c r="Q1" s="1" t="s">
        <v>78</v>
      </c>
      <c r="R1" s="1" t="s">
        <v>79</v>
      </c>
      <c r="S1" s="1" t="s">
        <v>385</v>
      </c>
      <c r="T1" s="1" t="s">
        <v>126</v>
      </c>
      <c r="U1" s="1" t="s">
        <v>127</v>
      </c>
      <c r="V1" s="1" t="s">
        <v>128</v>
      </c>
      <c r="W1" s="1" t="s">
        <v>129</v>
      </c>
      <c r="X1" s="1" t="s">
        <v>386</v>
      </c>
      <c r="Y1" s="1" t="s">
        <v>36</v>
      </c>
      <c r="Z1" s="1" t="s">
        <v>37</v>
      </c>
      <c r="AA1" s="1" t="s">
        <v>38</v>
      </c>
    </row>
    <row r="2" spans="1:27" s="79" customFormat="1" ht="34.799999999999997" customHeight="1">
      <c r="A2" s="4" t="s">
        <v>279</v>
      </c>
      <c r="B2" s="4" t="s">
        <v>314</v>
      </c>
      <c r="C2" s="4" t="s">
        <v>315</v>
      </c>
      <c r="D2" s="4" t="s">
        <v>316</v>
      </c>
      <c r="E2" s="4" t="s">
        <v>90</v>
      </c>
      <c r="F2" s="4" t="s">
        <v>317</v>
      </c>
      <c r="G2" s="4" t="s">
        <v>160</v>
      </c>
      <c r="H2" s="4" t="s">
        <v>275</v>
      </c>
      <c r="I2" s="4" t="s">
        <v>387</v>
      </c>
      <c r="J2" s="4" t="s">
        <v>387</v>
      </c>
      <c r="K2" s="4" t="s">
        <v>387</v>
      </c>
      <c r="L2" s="4" t="s">
        <v>387</v>
      </c>
      <c r="M2" s="4" t="s">
        <v>387</v>
      </c>
      <c r="N2" s="4" t="s">
        <v>388</v>
      </c>
      <c r="O2" s="4" t="s">
        <v>389</v>
      </c>
      <c r="P2" s="4" t="s">
        <v>389</v>
      </c>
      <c r="Q2" s="4" t="s">
        <v>389</v>
      </c>
      <c r="R2" s="4" t="s">
        <v>389</v>
      </c>
      <c r="S2" s="4" t="s">
        <v>389</v>
      </c>
      <c r="T2" s="4"/>
      <c r="U2" s="4"/>
      <c r="V2" s="4"/>
      <c r="W2" s="4"/>
      <c r="X2" s="4"/>
      <c r="Y2" s="4" t="s">
        <v>271</v>
      </c>
      <c r="Z2" s="4" t="s">
        <v>272</v>
      </c>
      <c r="AA2" s="4" t="s">
        <v>273</v>
      </c>
    </row>
    <row r="3" spans="1:27" s="79" customFormat="1" ht="34.799999999999997" customHeight="1">
      <c r="A3" s="4"/>
      <c r="B3" s="4"/>
      <c r="C3" s="4"/>
      <c r="D3" s="4" t="s">
        <v>327</v>
      </c>
      <c r="E3" s="4"/>
      <c r="F3" s="4" t="s">
        <v>328</v>
      </c>
      <c r="G3" s="4"/>
      <c r="H3" s="4"/>
      <c r="I3" s="4" t="s">
        <v>91</v>
      </c>
      <c r="J3" s="4" t="s">
        <v>92</v>
      </c>
      <c r="K3" s="4" t="s">
        <v>93</v>
      </c>
      <c r="L3" s="4" t="s">
        <v>94</v>
      </c>
      <c r="M3" s="4" t="s">
        <v>390</v>
      </c>
      <c r="N3" s="4"/>
      <c r="O3" s="4" t="s">
        <v>91</v>
      </c>
      <c r="P3" s="4" t="s">
        <v>92</v>
      </c>
      <c r="Q3" s="4" t="s">
        <v>93</v>
      </c>
      <c r="R3" s="4" t="s">
        <v>94</v>
      </c>
      <c r="S3" s="4" t="s">
        <v>390</v>
      </c>
      <c r="T3" s="4"/>
      <c r="U3" s="4"/>
      <c r="V3" s="4"/>
      <c r="W3" s="4"/>
      <c r="X3" s="4"/>
      <c r="Y3" s="4"/>
      <c r="Z3" s="4"/>
      <c r="AA3" s="4" t="s">
        <v>274</v>
      </c>
    </row>
    <row r="4" spans="1:27" s="79" customFormat="1" ht="40.799999999999997">
      <c r="A4" s="4" t="s">
        <v>1009</v>
      </c>
      <c r="B4" s="4"/>
      <c r="C4" s="4"/>
      <c r="D4" s="4"/>
      <c r="E4" s="4"/>
      <c r="F4" s="4"/>
      <c r="G4" s="4"/>
      <c r="H4" s="4"/>
      <c r="I4" s="4"/>
      <c r="J4" s="4"/>
      <c r="K4" s="4"/>
      <c r="L4" s="4"/>
      <c r="M4" s="4"/>
      <c r="N4" s="4"/>
      <c r="O4" s="4"/>
      <c r="P4" s="4"/>
      <c r="Q4" s="4"/>
      <c r="R4" s="4"/>
      <c r="S4" s="4"/>
      <c r="T4" s="4"/>
      <c r="U4" s="4"/>
      <c r="V4" s="4"/>
      <c r="W4" s="4"/>
      <c r="X4" s="4"/>
      <c r="Y4" s="4"/>
      <c r="Z4" s="4"/>
      <c r="AA4" s="4"/>
    </row>
    <row r="5" spans="1:27" s="122" customFormat="1" ht="20.399999999999999">
      <c r="A5" s="123"/>
      <c r="B5" s="123" t="s">
        <v>335</v>
      </c>
      <c r="C5" s="123" t="s">
        <v>336</v>
      </c>
      <c r="D5" s="123"/>
      <c r="E5" s="123"/>
      <c r="F5" s="123"/>
      <c r="G5" s="123"/>
      <c r="H5" s="123"/>
      <c r="I5" s="123"/>
      <c r="J5" s="123"/>
      <c r="K5" s="123"/>
      <c r="L5" s="123"/>
      <c r="M5" s="123"/>
      <c r="N5" s="123"/>
      <c r="O5" s="123"/>
      <c r="P5" s="123"/>
      <c r="Q5" s="123"/>
      <c r="R5" s="123"/>
      <c r="S5" s="123"/>
      <c r="T5" s="123"/>
      <c r="U5" s="123"/>
      <c r="V5" s="123"/>
      <c r="W5" s="123"/>
      <c r="X5" s="123"/>
      <c r="Y5" s="123"/>
      <c r="Z5" s="123"/>
      <c r="AA5" s="123"/>
    </row>
    <row r="6" spans="1:27" s="81" customFormat="1" collapsed="1">
      <c r="A6" s="124" t="s">
        <v>95</v>
      </c>
      <c r="B6" s="124" t="s">
        <v>95</v>
      </c>
      <c r="C6" s="124" t="s">
        <v>95</v>
      </c>
      <c r="D6" s="124" t="s">
        <v>95</v>
      </c>
      <c r="E6" s="124" t="s">
        <v>95</v>
      </c>
      <c r="F6" s="124" t="s">
        <v>96</v>
      </c>
      <c r="G6" s="124" t="s">
        <v>97</v>
      </c>
      <c r="H6" s="124" t="s">
        <v>97</v>
      </c>
      <c r="I6" s="124" t="s">
        <v>98</v>
      </c>
      <c r="J6" s="124" t="s">
        <v>98</v>
      </c>
      <c r="K6" s="124" t="s">
        <v>98</v>
      </c>
      <c r="L6" s="124" t="s">
        <v>98</v>
      </c>
      <c r="M6" s="124" t="s">
        <v>98</v>
      </c>
      <c r="N6" s="124" t="s">
        <v>97</v>
      </c>
      <c r="O6" s="124" t="s">
        <v>98</v>
      </c>
      <c r="P6" s="124" t="s">
        <v>98</v>
      </c>
      <c r="Q6" s="124" t="s">
        <v>98</v>
      </c>
      <c r="R6" s="124" t="s">
        <v>98</v>
      </c>
      <c r="S6" s="124" t="s">
        <v>98</v>
      </c>
      <c r="T6" s="124" t="s">
        <v>97</v>
      </c>
      <c r="U6" s="124" t="s">
        <v>97</v>
      </c>
      <c r="V6" s="124" t="s">
        <v>97</v>
      </c>
      <c r="W6" s="124" t="s">
        <v>97</v>
      </c>
      <c r="X6" s="124" t="s">
        <v>97</v>
      </c>
      <c r="Y6" s="124" t="s">
        <v>217</v>
      </c>
      <c r="Z6" s="124" t="s">
        <v>217</v>
      </c>
      <c r="AA6" s="124" t="s">
        <v>97</v>
      </c>
    </row>
    <row r="7" spans="1:27" s="81" customFormat="1" hidden="1" outlineLevel="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row>
    <row r="8" spans="1:27" s="81" customFormat="1" hidden="1" outlineLevel="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row>
    <row r="9" spans="1:27" s="81" customFormat="1" hidden="1" outlineLevel="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row>
    <row r="10" spans="1:27" s="81" customFormat="1" hidden="1" outlineLevel="1">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row>
    <row r="11" spans="1:27" collapsed="1">
      <c r="A11" s="127" t="s">
        <v>468</v>
      </c>
      <c r="B11" s="70" t="s">
        <v>339</v>
      </c>
      <c r="C11" s="70" t="s">
        <v>340</v>
      </c>
      <c r="D11" s="3" t="s">
        <v>18</v>
      </c>
      <c r="E11" s="3" t="s">
        <v>391</v>
      </c>
      <c r="F11" s="85">
        <v>1</v>
      </c>
      <c r="G11" s="3"/>
      <c r="H11" s="3"/>
      <c r="I11" s="86">
        <v>0.1</v>
      </c>
      <c r="J11" s="86">
        <v>0.2</v>
      </c>
      <c r="K11" s="86">
        <v>0.25</v>
      </c>
      <c r="L11" s="86">
        <v>0.3</v>
      </c>
      <c r="M11" s="86">
        <v>0.5</v>
      </c>
      <c r="N11" s="85"/>
      <c r="O11" s="85"/>
      <c r="P11" s="85"/>
      <c r="Q11" s="85"/>
      <c r="R11" s="85"/>
      <c r="S11" s="85"/>
      <c r="T11" s="85"/>
      <c r="U11" s="85"/>
      <c r="V11" s="85"/>
      <c r="W11" s="85"/>
      <c r="X11" s="85"/>
      <c r="Y11" s="94"/>
      <c r="Z11" s="94"/>
      <c r="AA11" s="40"/>
    </row>
    <row r="12" spans="1:27" ht="40.799999999999997" collapsed="1">
      <c r="A12" s="127" t="s">
        <v>469</v>
      </c>
      <c r="B12" s="70" t="s">
        <v>341</v>
      </c>
      <c r="C12" s="70" t="s">
        <v>16</v>
      </c>
      <c r="D12" s="3" t="s">
        <v>18</v>
      </c>
      <c r="E12" s="3" t="s">
        <v>99</v>
      </c>
      <c r="F12" s="85">
        <v>1</v>
      </c>
      <c r="G12" s="3" t="s">
        <v>100</v>
      </c>
      <c r="H12" s="3" t="s">
        <v>101</v>
      </c>
      <c r="I12" s="86">
        <v>0.05</v>
      </c>
      <c r="J12" s="86">
        <v>0.1</v>
      </c>
      <c r="K12" s="86">
        <v>0.15</v>
      </c>
      <c r="L12" s="86">
        <v>0.2</v>
      </c>
      <c r="M12" s="86">
        <v>0.4</v>
      </c>
      <c r="N12" s="85"/>
      <c r="O12" s="85"/>
      <c r="P12" s="85"/>
      <c r="Q12" s="85"/>
      <c r="R12" s="85"/>
      <c r="S12" s="85"/>
      <c r="T12" s="85" t="s">
        <v>392</v>
      </c>
      <c r="U12" s="85" t="s">
        <v>393</v>
      </c>
      <c r="V12" s="85" t="s">
        <v>394</v>
      </c>
      <c r="W12" s="85" t="s">
        <v>395</v>
      </c>
      <c r="X12" s="85" t="s">
        <v>396</v>
      </c>
      <c r="Y12" s="94">
        <v>44064</v>
      </c>
      <c r="Z12" s="94"/>
      <c r="AA12" s="40"/>
    </row>
    <row r="13" spans="1:27" ht="51">
      <c r="A13" s="127" t="s">
        <v>464</v>
      </c>
      <c r="B13" s="70" t="s">
        <v>341</v>
      </c>
      <c r="C13" s="70" t="s">
        <v>16</v>
      </c>
      <c r="D13" s="3" t="s">
        <v>18</v>
      </c>
      <c r="E13" s="3" t="s">
        <v>207</v>
      </c>
      <c r="F13" s="85">
        <v>1</v>
      </c>
      <c r="G13" s="3" t="s">
        <v>397</v>
      </c>
      <c r="H13" s="3" t="s">
        <v>470</v>
      </c>
      <c r="I13" s="86">
        <v>0.05</v>
      </c>
      <c r="J13" s="86">
        <v>0.1</v>
      </c>
      <c r="K13" s="86">
        <v>0.2</v>
      </c>
      <c r="L13" s="86">
        <v>0.3</v>
      </c>
      <c r="M13" s="86">
        <v>0.5</v>
      </c>
      <c r="N13" s="85"/>
      <c r="O13" s="85"/>
      <c r="P13" s="85"/>
      <c r="Q13" s="85"/>
      <c r="R13" s="85"/>
      <c r="S13" s="87"/>
      <c r="T13" s="85" t="s">
        <v>398</v>
      </c>
      <c r="U13" s="85" t="s">
        <v>399</v>
      </c>
      <c r="V13" s="85" t="s">
        <v>400</v>
      </c>
      <c r="W13" s="85" t="s">
        <v>401</v>
      </c>
      <c r="X13" s="85" t="s">
        <v>402</v>
      </c>
      <c r="Y13" s="94">
        <v>43978</v>
      </c>
      <c r="Z13" s="94">
        <v>44064</v>
      </c>
      <c r="AA13" s="40"/>
    </row>
    <row r="14" spans="1:27" ht="30.6">
      <c r="A14" s="127" t="s">
        <v>463</v>
      </c>
      <c r="B14" s="70" t="s">
        <v>341</v>
      </c>
      <c r="C14" s="70" t="s">
        <v>16</v>
      </c>
      <c r="D14" s="3" t="s">
        <v>18</v>
      </c>
      <c r="E14" s="3" t="s">
        <v>63</v>
      </c>
      <c r="F14" s="85">
        <v>1</v>
      </c>
      <c r="G14" s="3" t="s">
        <v>218</v>
      </c>
      <c r="H14" s="3" t="s">
        <v>471</v>
      </c>
      <c r="I14" s="86">
        <v>0.1</v>
      </c>
      <c r="J14" s="86">
        <v>0.2</v>
      </c>
      <c r="K14" s="86">
        <v>0.25</v>
      </c>
      <c r="L14" s="86">
        <v>0.3</v>
      </c>
      <c r="M14" s="86">
        <v>0.5</v>
      </c>
      <c r="N14" s="85"/>
      <c r="O14" s="85"/>
      <c r="P14" s="85"/>
      <c r="Q14" s="85"/>
      <c r="R14" s="85"/>
      <c r="S14" s="85"/>
      <c r="T14" s="85" t="s">
        <v>403</v>
      </c>
      <c r="U14" s="85" t="s">
        <v>404</v>
      </c>
      <c r="V14" s="85" t="s">
        <v>405</v>
      </c>
      <c r="W14" s="85" t="s">
        <v>406</v>
      </c>
      <c r="X14" s="85" t="s">
        <v>174</v>
      </c>
      <c r="Y14" s="94">
        <v>43978</v>
      </c>
      <c r="Z14" s="94">
        <v>44064</v>
      </c>
      <c r="AA14" s="40"/>
    </row>
    <row r="15" spans="1:27" ht="40.799999999999997">
      <c r="A15" s="127" t="s">
        <v>467</v>
      </c>
      <c r="B15" s="70" t="s">
        <v>341</v>
      </c>
      <c r="C15" s="70" t="s">
        <v>16</v>
      </c>
      <c r="D15" s="3" t="s">
        <v>18</v>
      </c>
      <c r="E15" s="3" t="s">
        <v>131</v>
      </c>
      <c r="F15" s="85">
        <v>1</v>
      </c>
      <c r="G15" s="3" t="s">
        <v>219</v>
      </c>
      <c r="H15" s="3" t="s">
        <v>472</v>
      </c>
      <c r="I15" s="86"/>
      <c r="J15" s="86"/>
      <c r="K15" s="86"/>
      <c r="L15" s="86"/>
      <c r="M15" s="86"/>
      <c r="N15" s="85"/>
      <c r="O15" s="85">
        <v>0.05</v>
      </c>
      <c r="P15" s="85">
        <v>0.1</v>
      </c>
      <c r="Q15" s="85">
        <v>0.2</v>
      </c>
      <c r="R15" s="85">
        <v>0.3</v>
      </c>
      <c r="S15" s="85">
        <v>0.5</v>
      </c>
      <c r="T15" s="85" t="s">
        <v>185</v>
      </c>
      <c r="U15" s="85" t="s">
        <v>184</v>
      </c>
      <c r="V15" s="85" t="s">
        <v>407</v>
      </c>
      <c r="W15" s="85" t="s">
        <v>408</v>
      </c>
      <c r="X15" s="85" t="s">
        <v>208</v>
      </c>
      <c r="Y15" s="94">
        <v>43978</v>
      </c>
      <c r="Z15" s="94">
        <v>44064</v>
      </c>
      <c r="AA15" s="40"/>
    </row>
    <row r="16" spans="1:27" ht="40.799999999999997">
      <c r="A16" s="127" t="s">
        <v>465</v>
      </c>
      <c r="B16" s="70" t="s">
        <v>341</v>
      </c>
      <c r="C16" s="70" t="s">
        <v>16</v>
      </c>
      <c r="D16" s="3" t="s">
        <v>18</v>
      </c>
      <c r="E16" s="3" t="s">
        <v>130</v>
      </c>
      <c r="F16" s="85">
        <v>1</v>
      </c>
      <c r="G16" s="3" t="s">
        <v>220</v>
      </c>
      <c r="H16" s="3" t="s">
        <v>473</v>
      </c>
      <c r="I16" s="86">
        <v>0.05</v>
      </c>
      <c r="J16" s="86">
        <v>0.1</v>
      </c>
      <c r="K16" s="86">
        <v>0.25</v>
      </c>
      <c r="L16" s="86">
        <v>0.4</v>
      </c>
      <c r="M16" s="86">
        <v>0.5</v>
      </c>
      <c r="N16" s="85" t="s">
        <v>42</v>
      </c>
      <c r="O16" s="85">
        <v>0.5</v>
      </c>
      <c r="P16" s="85">
        <v>1</v>
      </c>
      <c r="Q16" s="85">
        <v>2</v>
      </c>
      <c r="R16" s="85">
        <v>5</v>
      </c>
      <c r="S16" s="85">
        <v>8</v>
      </c>
      <c r="T16" s="85" t="s">
        <v>186</v>
      </c>
      <c r="U16" s="85" t="s">
        <v>177</v>
      </c>
      <c r="V16" s="85" t="s">
        <v>176</v>
      </c>
      <c r="W16" s="85" t="s">
        <v>132</v>
      </c>
      <c r="X16" s="85" t="s">
        <v>409</v>
      </c>
      <c r="Y16" s="94">
        <v>43978</v>
      </c>
      <c r="Z16" s="94">
        <v>44064</v>
      </c>
      <c r="AA16" s="40"/>
    </row>
    <row r="17" spans="1:27" ht="20.399999999999999">
      <c r="A17" s="127" t="s">
        <v>466</v>
      </c>
      <c r="B17" s="70" t="s">
        <v>341</v>
      </c>
      <c r="C17" s="70" t="s">
        <v>16</v>
      </c>
      <c r="D17" s="3" t="s">
        <v>18</v>
      </c>
      <c r="E17" s="3" t="s">
        <v>183</v>
      </c>
      <c r="F17" s="85">
        <v>1</v>
      </c>
      <c r="G17" s="3" t="s">
        <v>133</v>
      </c>
      <c r="H17" s="3" t="s">
        <v>470</v>
      </c>
      <c r="I17" s="86">
        <v>0.05</v>
      </c>
      <c r="J17" s="86">
        <v>0.1</v>
      </c>
      <c r="K17" s="86">
        <v>0.15</v>
      </c>
      <c r="L17" s="86">
        <v>0.2</v>
      </c>
      <c r="M17" s="86">
        <v>0.3</v>
      </c>
      <c r="N17" s="85"/>
      <c r="O17" s="85"/>
      <c r="P17" s="85"/>
      <c r="Q17" s="85"/>
      <c r="R17" s="85"/>
      <c r="S17" s="85"/>
      <c r="T17" s="85" t="s">
        <v>206</v>
      </c>
      <c r="U17" s="85" t="s">
        <v>182</v>
      </c>
      <c r="V17" s="85" t="s">
        <v>181</v>
      </c>
      <c r="W17" s="85" t="s">
        <v>180</v>
      </c>
      <c r="X17" s="85" t="s">
        <v>410</v>
      </c>
      <c r="Y17" s="94">
        <v>43978</v>
      </c>
      <c r="Z17" s="94">
        <v>44064</v>
      </c>
      <c r="AA17" s="40"/>
    </row>
    <row r="18" spans="1:27" ht="61.2">
      <c r="A18" s="127" t="s">
        <v>474</v>
      </c>
      <c r="B18" s="70" t="s">
        <v>341</v>
      </c>
      <c r="C18" s="70" t="s">
        <v>16</v>
      </c>
      <c r="D18" s="3" t="s">
        <v>18</v>
      </c>
      <c r="E18" s="3" t="s">
        <v>102</v>
      </c>
      <c r="F18" s="85">
        <v>1</v>
      </c>
      <c r="G18" s="3" t="s">
        <v>103</v>
      </c>
      <c r="H18" s="3" t="s">
        <v>475</v>
      </c>
      <c r="I18" s="86">
        <v>0.05</v>
      </c>
      <c r="J18" s="86">
        <v>0.1</v>
      </c>
      <c r="K18" s="86">
        <v>0.15</v>
      </c>
      <c r="L18" s="86">
        <v>0.3</v>
      </c>
      <c r="M18" s="86">
        <v>0.5</v>
      </c>
      <c r="N18" s="85"/>
      <c r="O18" s="85"/>
      <c r="P18" s="85"/>
      <c r="Q18" s="85"/>
      <c r="R18" s="85"/>
      <c r="S18" s="85"/>
      <c r="T18" s="85" t="s">
        <v>411</v>
      </c>
      <c r="U18" s="85" t="s">
        <v>412</v>
      </c>
      <c r="V18" s="85" t="s">
        <v>413</v>
      </c>
      <c r="W18" s="85" t="s">
        <v>414</v>
      </c>
      <c r="X18" s="85" t="s">
        <v>415</v>
      </c>
      <c r="Y18" s="94">
        <v>44054</v>
      </c>
      <c r="Z18" s="94">
        <v>44064</v>
      </c>
      <c r="AA18" s="40"/>
    </row>
    <row r="19" spans="1:27" ht="40.799999999999997">
      <c r="A19" s="127" t="s">
        <v>476</v>
      </c>
      <c r="B19" s="70" t="s">
        <v>341</v>
      </c>
      <c r="C19" s="70" t="s">
        <v>16</v>
      </c>
      <c r="D19" s="3" t="s">
        <v>18</v>
      </c>
      <c r="E19" s="3" t="s">
        <v>104</v>
      </c>
      <c r="F19" s="85">
        <v>1</v>
      </c>
      <c r="G19" s="3" t="s">
        <v>105</v>
      </c>
      <c r="H19" s="3" t="s">
        <v>101</v>
      </c>
      <c r="I19" s="85"/>
      <c r="J19" s="85"/>
      <c r="K19" s="85"/>
      <c r="L19" s="85"/>
      <c r="M19" s="85"/>
      <c r="N19" s="85" t="s">
        <v>46</v>
      </c>
      <c r="O19" s="85">
        <v>0.01</v>
      </c>
      <c r="P19" s="85">
        <v>0.02</v>
      </c>
      <c r="Q19" s="85">
        <v>0.05</v>
      </c>
      <c r="R19" s="85">
        <v>7.0000000000000007E-2</v>
      </c>
      <c r="S19" s="88">
        <v>0.1</v>
      </c>
      <c r="T19" s="85" t="s">
        <v>416</v>
      </c>
      <c r="U19" s="85" t="s">
        <v>417</v>
      </c>
      <c r="V19" s="85" t="s">
        <v>418</v>
      </c>
      <c r="W19" s="85" t="s">
        <v>419</v>
      </c>
      <c r="X19" s="85" t="s">
        <v>420</v>
      </c>
      <c r="Y19" s="94">
        <v>43978</v>
      </c>
      <c r="Z19" s="94">
        <v>44071</v>
      </c>
      <c r="AA19" s="40"/>
    </row>
    <row r="20" spans="1:27" ht="61.2">
      <c r="A20" s="127" t="s">
        <v>479</v>
      </c>
      <c r="B20" s="70" t="s">
        <v>341</v>
      </c>
      <c r="C20" s="70" t="s">
        <v>16</v>
      </c>
      <c r="D20" s="3" t="s">
        <v>18</v>
      </c>
      <c r="E20" s="3" t="s">
        <v>480</v>
      </c>
      <c r="F20" s="88">
        <v>1</v>
      </c>
      <c r="G20" s="3" t="s">
        <v>481</v>
      </c>
      <c r="H20" s="3" t="s">
        <v>101</v>
      </c>
      <c r="I20" s="85"/>
      <c r="J20" s="85"/>
      <c r="K20" s="85"/>
      <c r="L20" s="85"/>
      <c r="M20" s="85"/>
      <c r="N20" s="85" t="s">
        <v>106</v>
      </c>
      <c r="O20" s="88">
        <v>0.05</v>
      </c>
      <c r="P20" s="88">
        <v>0.1</v>
      </c>
      <c r="Q20" s="88">
        <v>0.15</v>
      </c>
      <c r="R20" s="88">
        <v>0.25</v>
      </c>
      <c r="S20" s="88">
        <v>0.4</v>
      </c>
      <c r="T20" s="92" t="s">
        <v>482</v>
      </c>
      <c r="U20" s="85" t="s">
        <v>483</v>
      </c>
      <c r="V20" s="85" t="s">
        <v>484</v>
      </c>
      <c r="W20" s="85" t="s">
        <v>477</v>
      </c>
      <c r="X20" s="85" t="s">
        <v>478</v>
      </c>
      <c r="Y20" s="94">
        <v>43978</v>
      </c>
      <c r="Z20" s="94">
        <v>44119</v>
      </c>
      <c r="AA20" s="40"/>
    </row>
    <row r="21" spans="1:27" ht="30.6">
      <c r="A21" s="127" t="s">
        <v>485</v>
      </c>
      <c r="B21" s="70" t="s">
        <v>341</v>
      </c>
      <c r="C21" s="70" t="s">
        <v>16</v>
      </c>
      <c r="D21" s="3" t="s">
        <v>18</v>
      </c>
      <c r="E21" s="3" t="s">
        <v>107</v>
      </c>
      <c r="F21" s="85">
        <v>1</v>
      </c>
      <c r="G21" s="3" t="s">
        <v>108</v>
      </c>
      <c r="H21" s="3" t="s">
        <v>486</v>
      </c>
      <c r="I21" s="85"/>
      <c r="J21" s="85"/>
      <c r="K21" s="85"/>
      <c r="L21" s="85"/>
      <c r="M21" s="85"/>
      <c r="N21" s="85" t="s">
        <v>109</v>
      </c>
      <c r="O21" s="85">
        <v>0.1</v>
      </c>
      <c r="P21" s="85">
        <v>0.3</v>
      </c>
      <c r="Q21" s="85">
        <v>1</v>
      </c>
      <c r="R21" s="85">
        <v>2</v>
      </c>
      <c r="S21" s="88">
        <v>3</v>
      </c>
      <c r="T21" s="92" t="s">
        <v>487</v>
      </c>
      <c r="U21" s="85" t="s">
        <v>488</v>
      </c>
      <c r="V21" s="85" t="s">
        <v>489</v>
      </c>
      <c r="W21" s="85" t="s">
        <v>490</v>
      </c>
      <c r="X21" s="85" t="s">
        <v>491</v>
      </c>
      <c r="Y21" s="94">
        <v>43978</v>
      </c>
      <c r="Z21" s="94">
        <v>44106</v>
      </c>
      <c r="AA21" s="40"/>
    </row>
    <row r="22" spans="1:27" ht="61.2">
      <c r="A22" s="127" t="s">
        <v>492</v>
      </c>
      <c r="B22" s="70" t="s">
        <v>341</v>
      </c>
      <c r="C22" s="70" t="s">
        <v>16</v>
      </c>
      <c r="D22" s="3" t="s">
        <v>18</v>
      </c>
      <c r="E22" s="3" t="s">
        <v>110</v>
      </c>
      <c r="F22" s="85">
        <v>1</v>
      </c>
      <c r="G22" s="3" t="s">
        <v>111</v>
      </c>
      <c r="H22" s="3" t="s">
        <v>101</v>
      </c>
      <c r="I22" s="85">
        <v>0.05</v>
      </c>
      <c r="J22" s="85">
        <v>0.1</v>
      </c>
      <c r="K22" s="85">
        <v>0.15</v>
      </c>
      <c r="L22" s="85">
        <v>0.2</v>
      </c>
      <c r="M22" s="85">
        <v>0.3</v>
      </c>
      <c r="N22" s="85"/>
      <c r="O22" s="85"/>
      <c r="P22" s="85"/>
      <c r="Q22" s="85"/>
      <c r="R22" s="85"/>
      <c r="S22" s="85"/>
      <c r="T22" s="92" t="s">
        <v>493</v>
      </c>
      <c r="U22" s="92" t="s">
        <v>494</v>
      </c>
      <c r="V22" s="92" t="s">
        <v>495</v>
      </c>
      <c r="W22" s="85" t="s">
        <v>496</v>
      </c>
      <c r="X22" s="85" t="s">
        <v>497</v>
      </c>
      <c r="Y22" s="94">
        <v>43978</v>
      </c>
      <c r="Z22" s="94"/>
      <c r="AA22" s="40"/>
    </row>
    <row r="23" spans="1:27" ht="71.400000000000006">
      <c r="A23" s="127" t="s">
        <v>498</v>
      </c>
      <c r="B23" s="70" t="s">
        <v>341</v>
      </c>
      <c r="C23" s="70" t="s">
        <v>16</v>
      </c>
      <c r="D23" s="3" t="s">
        <v>18</v>
      </c>
      <c r="E23" s="3" t="s">
        <v>114</v>
      </c>
      <c r="F23" s="85">
        <v>1</v>
      </c>
      <c r="G23" s="3" t="s">
        <v>115</v>
      </c>
      <c r="H23" s="3" t="s">
        <v>101</v>
      </c>
      <c r="I23" s="85">
        <v>0.05</v>
      </c>
      <c r="J23" s="85">
        <v>0.1</v>
      </c>
      <c r="K23" s="85">
        <v>0.2</v>
      </c>
      <c r="L23" s="85">
        <v>0.3</v>
      </c>
      <c r="M23" s="85">
        <v>0.5</v>
      </c>
      <c r="N23" s="85"/>
      <c r="O23" s="85"/>
      <c r="P23" s="85"/>
      <c r="Q23" s="85"/>
      <c r="R23" s="85"/>
      <c r="S23" s="85"/>
      <c r="T23" s="92" t="s">
        <v>499</v>
      </c>
      <c r="U23" s="92" t="s">
        <v>500</v>
      </c>
      <c r="V23" s="92" t="s">
        <v>495</v>
      </c>
      <c r="W23" s="85" t="s">
        <v>496</v>
      </c>
      <c r="X23" s="85" t="s">
        <v>497</v>
      </c>
      <c r="Y23" s="94">
        <v>43978</v>
      </c>
      <c r="Z23" s="94"/>
      <c r="AA23" s="40"/>
    </row>
    <row r="24" spans="1:27" ht="71.400000000000006">
      <c r="A24" s="127" t="s">
        <v>501</v>
      </c>
      <c r="B24" s="70" t="s">
        <v>341</v>
      </c>
      <c r="C24" s="70" t="s">
        <v>16</v>
      </c>
      <c r="D24" s="3" t="s">
        <v>18</v>
      </c>
      <c r="E24" s="3" t="s">
        <v>112</v>
      </c>
      <c r="F24" s="85">
        <v>1</v>
      </c>
      <c r="G24" s="3" t="s">
        <v>113</v>
      </c>
      <c r="H24" s="3" t="s">
        <v>101</v>
      </c>
      <c r="I24" s="85">
        <v>0.05</v>
      </c>
      <c r="J24" s="85">
        <v>0.1</v>
      </c>
      <c r="K24" s="85">
        <v>0.25</v>
      </c>
      <c r="L24" s="85">
        <v>0.5</v>
      </c>
      <c r="M24" s="85"/>
      <c r="N24" s="85"/>
      <c r="O24" s="85"/>
      <c r="P24" s="85"/>
      <c r="Q24" s="85"/>
      <c r="R24" s="85"/>
      <c r="S24" s="85"/>
      <c r="T24" s="85"/>
      <c r="U24" s="85"/>
      <c r="V24" s="85"/>
      <c r="W24" s="85"/>
      <c r="X24" s="85"/>
      <c r="Y24" s="94">
        <v>43978</v>
      </c>
      <c r="Z24" s="94"/>
      <c r="AA24" s="40"/>
    </row>
    <row r="25" spans="1:27">
      <c r="A25" s="127" t="s">
        <v>502</v>
      </c>
      <c r="B25" s="70" t="s">
        <v>341</v>
      </c>
      <c r="C25" s="70" t="s">
        <v>16</v>
      </c>
      <c r="D25" s="3" t="s">
        <v>18</v>
      </c>
      <c r="E25" s="3" t="s">
        <v>116</v>
      </c>
      <c r="F25" s="85">
        <v>1</v>
      </c>
      <c r="G25" s="3" t="s">
        <v>117</v>
      </c>
      <c r="H25" s="3" t="s">
        <v>101</v>
      </c>
      <c r="I25" s="85">
        <v>0.05</v>
      </c>
      <c r="J25" s="85">
        <v>0.1</v>
      </c>
      <c r="K25" s="85">
        <v>0.25</v>
      </c>
      <c r="L25" s="85">
        <v>0.5</v>
      </c>
      <c r="M25" s="85"/>
      <c r="N25" s="85"/>
      <c r="O25" s="85"/>
      <c r="P25" s="85"/>
      <c r="Q25" s="85"/>
      <c r="R25" s="85"/>
      <c r="S25" s="85"/>
      <c r="T25" s="85"/>
      <c r="U25" s="85"/>
      <c r="V25" s="85"/>
      <c r="W25" s="85"/>
      <c r="X25" s="85"/>
      <c r="Y25" s="94">
        <v>43978</v>
      </c>
      <c r="Z25" s="94"/>
      <c r="AA25" s="40"/>
    </row>
    <row r="26" spans="1:27">
      <c r="A26" s="127" t="s">
        <v>503</v>
      </c>
      <c r="B26" s="70" t="s">
        <v>341</v>
      </c>
      <c r="C26" s="70" t="s">
        <v>16</v>
      </c>
      <c r="D26" s="3" t="s">
        <v>18</v>
      </c>
      <c r="E26" s="3" t="s">
        <v>118</v>
      </c>
      <c r="F26" s="85">
        <v>1</v>
      </c>
      <c r="G26" s="3" t="s">
        <v>119</v>
      </c>
      <c r="H26" s="3" t="s">
        <v>101</v>
      </c>
      <c r="I26" s="85">
        <v>0.1</v>
      </c>
      <c r="J26" s="85">
        <v>0.2</v>
      </c>
      <c r="K26" s="85">
        <v>0.4</v>
      </c>
      <c r="L26" s="85">
        <v>0.8</v>
      </c>
      <c r="M26" s="85"/>
      <c r="N26" s="85"/>
      <c r="O26" s="85"/>
      <c r="P26" s="85"/>
      <c r="Q26" s="85"/>
      <c r="R26" s="85"/>
      <c r="S26" s="85"/>
      <c r="T26" s="85"/>
      <c r="U26" s="85"/>
      <c r="V26" s="85"/>
      <c r="W26" s="85"/>
      <c r="X26" s="85"/>
      <c r="Y26" s="94">
        <v>43978</v>
      </c>
      <c r="Z26" s="94"/>
      <c r="AA26" s="40"/>
    </row>
    <row r="27" spans="1:27">
      <c r="A27" s="127" t="s">
        <v>504</v>
      </c>
      <c r="B27" s="70" t="s">
        <v>341</v>
      </c>
      <c r="C27" s="70" t="s">
        <v>16</v>
      </c>
      <c r="D27" s="3" t="s">
        <v>18</v>
      </c>
      <c r="E27" s="3" t="s">
        <v>120</v>
      </c>
      <c r="F27" s="85">
        <v>1</v>
      </c>
      <c r="G27" s="3" t="s">
        <v>121</v>
      </c>
      <c r="H27" s="3" t="s">
        <v>101</v>
      </c>
      <c r="I27" s="85">
        <v>0.05</v>
      </c>
      <c r="J27" s="85">
        <v>0.1</v>
      </c>
      <c r="K27" s="85">
        <v>0.25</v>
      </c>
      <c r="L27" s="85">
        <v>0.5</v>
      </c>
      <c r="M27" s="85"/>
      <c r="N27" s="85"/>
      <c r="O27" s="85"/>
      <c r="P27" s="85"/>
      <c r="Q27" s="85"/>
      <c r="R27" s="85"/>
      <c r="S27" s="85"/>
      <c r="T27" s="85"/>
      <c r="U27" s="85"/>
      <c r="V27" s="85"/>
      <c r="W27" s="85"/>
      <c r="X27" s="85"/>
      <c r="Y27" s="94">
        <v>43978</v>
      </c>
      <c r="Z27" s="94"/>
      <c r="AA27" s="40"/>
    </row>
    <row r="28" spans="1:27">
      <c r="A28" s="127" t="s">
        <v>505</v>
      </c>
      <c r="B28" s="70" t="s">
        <v>341</v>
      </c>
      <c r="C28" s="70" t="s">
        <v>16</v>
      </c>
      <c r="D28" s="3" t="s">
        <v>18</v>
      </c>
      <c r="E28" s="3" t="s">
        <v>122</v>
      </c>
      <c r="F28" s="85">
        <v>1</v>
      </c>
      <c r="G28" s="3" t="s">
        <v>123</v>
      </c>
      <c r="H28" s="3" t="s">
        <v>101</v>
      </c>
      <c r="I28" s="85">
        <v>0.02</v>
      </c>
      <c r="J28" s="85">
        <v>0.05</v>
      </c>
      <c r="K28" s="85">
        <v>0.1</v>
      </c>
      <c r="L28" s="85">
        <v>0.2</v>
      </c>
      <c r="M28" s="85"/>
      <c r="N28" s="85"/>
      <c r="O28" s="85"/>
      <c r="P28" s="85"/>
      <c r="Q28" s="85"/>
      <c r="R28" s="85"/>
      <c r="S28" s="85"/>
      <c r="T28" s="85"/>
      <c r="U28" s="85"/>
      <c r="V28" s="85"/>
      <c r="W28" s="85"/>
      <c r="X28" s="85"/>
      <c r="Y28" s="94">
        <v>43978</v>
      </c>
      <c r="Z28" s="94"/>
      <c r="AA28" s="40"/>
    </row>
    <row r="29" spans="1:27">
      <c r="A29" s="127" t="s">
        <v>506</v>
      </c>
      <c r="B29" s="70" t="s">
        <v>341</v>
      </c>
      <c r="C29" s="70" t="s">
        <v>16</v>
      </c>
      <c r="D29" s="3" t="s">
        <v>18</v>
      </c>
      <c r="E29" s="3" t="s">
        <v>124</v>
      </c>
      <c r="F29" s="85">
        <v>1</v>
      </c>
      <c r="G29" s="3" t="s">
        <v>125</v>
      </c>
      <c r="H29" s="3" t="s">
        <v>101</v>
      </c>
      <c r="I29" s="85">
        <v>0.02</v>
      </c>
      <c r="J29" s="85">
        <v>0.05</v>
      </c>
      <c r="K29" s="85">
        <v>0.1</v>
      </c>
      <c r="L29" s="85">
        <v>0.2</v>
      </c>
      <c r="M29" s="85"/>
      <c r="N29" s="85"/>
      <c r="O29" s="85"/>
      <c r="P29" s="85"/>
      <c r="Q29" s="85"/>
      <c r="R29" s="85"/>
      <c r="S29" s="85"/>
      <c r="T29" s="85"/>
      <c r="U29" s="85"/>
      <c r="V29" s="85"/>
      <c r="W29" s="85"/>
      <c r="X29" s="85"/>
      <c r="Y29" s="94">
        <v>43978</v>
      </c>
      <c r="Z29" s="94"/>
      <c r="AA29" s="40"/>
    </row>
    <row r="30" spans="1:27">
      <c r="A30" s="127"/>
      <c r="B30" s="70"/>
      <c r="C30" s="70"/>
      <c r="D30" s="3"/>
      <c r="E30" s="3"/>
      <c r="F30" s="85"/>
      <c r="G30" s="3"/>
      <c r="H30" s="3"/>
      <c r="I30" s="85"/>
      <c r="J30" s="85"/>
      <c r="K30" s="85"/>
      <c r="L30" s="85"/>
      <c r="M30" s="85"/>
      <c r="N30" s="85"/>
      <c r="O30" s="85"/>
      <c r="P30" s="85"/>
      <c r="Q30" s="85"/>
      <c r="R30" s="85"/>
      <c r="S30" s="85"/>
      <c r="T30" s="85"/>
      <c r="U30" s="85"/>
      <c r="V30" s="85"/>
      <c r="W30" s="85"/>
      <c r="X30" s="85"/>
      <c r="Y30" s="94"/>
      <c r="Z30" s="94"/>
      <c r="AA30" s="40"/>
    </row>
    <row r="31" spans="1:27">
      <c r="A31" s="127"/>
      <c r="B31" s="70"/>
      <c r="C31" s="70"/>
      <c r="D31" s="3"/>
      <c r="E31" s="3"/>
      <c r="F31" s="85"/>
      <c r="G31" s="3"/>
      <c r="H31" s="3"/>
      <c r="I31" s="85"/>
      <c r="J31" s="85"/>
      <c r="K31" s="85"/>
      <c r="L31" s="85"/>
      <c r="M31" s="85"/>
      <c r="N31" s="85"/>
      <c r="O31" s="85"/>
      <c r="P31" s="85"/>
      <c r="Q31" s="85"/>
      <c r="R31" s="85"/>
      <c r="S31" s="85"/>
      <c r="T31" s="85"/>
      <c r="U31" s="85"/>
      <c r="V31" s="85"/>
      <c r="W31" s="85"/>
      <c r="X31" s="85"/>
      <c r="Y31" s="94"/>
      <c r="Z31" s="94"/>
      <c r="AA31" s="40"/>
    </row>
    <row r="32" spans="1:27">
      <c r="A32" s="127"/>
      <c r="B32" s="70"/>
      <c r="C32" s="70"/>
      <c r="D32" s="3"/>
      <c r="E32" s="3"/>
      <c r="F32" s="85"/>
      <c r="G32" s="3"/>
      <c r="H32" s="3"/>
      <c r="I32" s="85"/>
      <c r="J32" s="85"/>
      <c r="K32" s="85"/>
      <c r="L32" s="85"/>
      <c r="M32" s="85"/>
      <c r="N32" s="85"/>
      <c r="O32" s="85"/>
      <c r="P32" s="85"/>
      <c r="Q32" s="85"/>
      <c r="R32" s="85"/>
      <c r="S32" s="85"/>
      <c r="T32" s="85"/>
      <c r="U32" s="85"/>
      <c r="V32" s="85"/>
      <c r="W32" s="85"/>
      <c r="X32" s="85"/>
      <c r="Y32" s="94"/>
      <c r="Z32" s="94"/>
      <c r="AA32" s="40"/>
    </row>
    <row r="33" spans="1:27">
      <c r="A33" s="127"/>
      <c r="B33" s="70"/>
      <c r="C33" s="70"/>
      <c r="D33" s="3"/>
      <c r="E33" s="3"/>
      <c r="F33" s="85"/>
      <c r="G33" s="3"/>
      <c r="H33" s="3"/>
      <c r="I33" s="85"/>
      <c r="J33" s="85"/>
      <c r="K33" s="85"/>
      <c r="L33" s="85"/>
      <c r="M33" s="85"/>
      <c r="N33" s="85"/>
      <c r="O33" s="85"/>
      <c r="P33" s="85"/>
      <c r="Q33" s="85"/>
      <c r="R33" s="85"/>
      <c r="S33" s="85"/>
      <c r="T33" s="85"/>
      <c r="U33" s="85"/>
      <c r="V33" s="85"/>
      <c r="W33" s="85"/>
      <c r="X33" s="85"/>
      <c r="Y33" s="94"/>
      <c r="Z33" s="94"/>
      <c r="AA33" s="40"/>
    </row>
    <row r="34" spans="1:27">
      <c r="A34" s="127"/>
      <c r="B34" s="70"/>
      <c r="C34" s="70"/>
      <c r="D34" s="3"/>
      <c r="E34" s="3"/>
      <c r="F34" s="85"/>
      <c r="G34" s="3"/>
      <c r="H34" s="3"/>
      <c r="I34" s="85"/>
      <c r="J34" s="85"/>
      <c r="K34" s="85"/>
      <c r="L34" s="85"/>
      <c r="M34" s="85"/>
      <c r="N34" s="85"/>
      <c r="O34" s="85"/>
      <c r="P34" s="85"/>
      <c r="Q34" s="85"/>
      <c r="R34" s="85"/>
      <c r="S34" s="85"/>
      <c r="T34" s="85"/>
      <c r="U34" s="85"/>
      <c r="V34" s="85"/>
      <c r="W34" s="85"/>
      <c r="X34" s="85"/>
      <c r="Y34" s="94"/>
      <c r="Z34" s="94"/>
      <c r="AA34" s="40"/>
    </row>
    <row r="35" spans="1:27">
      <c r="A35" s="127"/>
      <c r="B35" s="70"/>
      <c r="C35" s="70"/>
      <c r="D35" s="3"/>
      <c r="E35" s="3"/>
      <c r="F35" s="85"/>
      <c r="G35" s="3"/>
      <c r="H35" s="3"/>
      <c r="I35" s="85"/>
      <c r="J35" s="85"/>
      <c r="K35" s="85"/>
      <c r="L35" s="85"/>
      <c r="M35" s="85"/>
      <c r="N35" s="85"/>
      <c r="O35" s="85"/>
      <c r="P35" s="85"/>
      <c r="Q35" s="85"/>
      <c r="R35" s="85"/>
      <c r="S35" s="85"/>
      <c r="T35" s="85"/>
      <c r="U35" s="85"/>
      <c r="V35" s="85"/>
      <c r="W35" s="85"/>
      <c r="X35" s="85"/>
      <c r="Y35" s="94"/>
      <c r="Z35" s="94"/>
      <c r="AA35" s="40"/>
    </row>
    <row r="36" spans="1:27">
      <c r="A36" s="127"/>
      <c r="B36" s="70"/>
      <c r="C36" s="70"/>
      <c r="D36" s="3"/>
      <c r="E36" s="3"/>
      <c r="F36" s="85"/>
      <c r="G36" s="3"/>
      <c r="H36" s="3"/>
      <c r="I36" s="85"/>
      <c r="J36" s="85"/>
      <c r="K36" s="85"/>
      <c r="L36" s="85"/>
      <c r="M36" s="85"/>
      <c r="N36" s="85"/>
      <c r="O36" s="85"/>
      <c r="P36" s="85"/>
      <c r="Q36" s="85"/>
      <c r="R36" s="85"/>
      <c r="S36" s="85"/>
      <c r="T36" s="85"/>
      <c r="U36" s="85"/>
      <c r="V36" s="85"/>
      <c r="W36" s="85"/>
      <c r="X36" s="85"/>
      <c r="Y36" s="94"/>
      <c r="Z36" s="94"/>
      <c r="AA36" s="40"/>
    </row>
    <row r="37" spans="1:27">
      <c r="A37" s="127"/>
      <c r="B37" s="70"/>
      <c r="C37" s="70"/>
      <c r="D37" s="3"/>
      <c r="E37" s="3"/>
      <c r="F37" s="85"/>
      <c r="G37" s="3"/>
      <c r="H37" s="3"/>
      <c r="I37" s="85"/>
      <c r="J37" s="85"/>
      <c r="K37" s="85"/>
      <c r="L37" s="85"/>
      <c r="M37" s="85"/>
      <c r="N37" s="85"/>
      <c r="O37" s="85"/>
      <c r="P37" s="85"/>
      <c r="Q37" s="85"/>
      <c r="R37" s="85"/>
      <c r="S37" s="85"/>
      <c r="T37" s="85"/>
      <c r="U37" s="85"/>
      <c r="V37" s="85"/>
      <c r="W37" s="85"/>
      <c r="X37" s="85"/>
      <c r="Y37" s="94"/>
      <c r="Z37" s="94"/>
      <c r="AA37" s="40"/>
    </row>
    <row r="38" spans="1:27">
      <c r="A38" s="127"/>
      <c r="B38" s="70"/>
      <c r="C38" s="70"/>
      <c r="D38" s="3"/>
      <c r="E38" s="3"/>
      <c r="F38" s="85"/>
      <c r="G38" s="3"/>
      <c r="H38" s="3"/>
      <c r="I38" s="85"/>
      <c r="J38" s="85"/>
      <c r="K38" s="85"/>
      <c r="L38" s="85"/>
      <c r="M38" s="85"/>
      <c r="N38" s="85"/>
      <c r="O38" s="85"/>
      <c r="P38" s="85"/>
      <c r="Q38" s="85"/>
      <c r="R38" s="85"/>
      <c r="S38" s="85"/>
      <c r="T38" s="85"/>
      <c r="U38" s="85"/>
      <c r="V38" s="85"/>
      <c r="W38" s="85"/>
      <c r="X38" s="85"/>
      <c r="Y38" s="94"/>
      <c r="Z38" s="94"/>
      <c r="AA38" s="40"/>
    </row>
    <row r="39" spans="1:27">
      <c r="A39" s="127"/>
      <c r="B39" s="70"/>
      <c r="C39" s="70"/>
      <c r="D39" s="3"/>
      <c r="E39" s="3"/>
      <c r="F39" s="85"/>
      <c r="G39" s="3"/>
      <c r="H39" s="3"/>
      <c r="I39" s="85"/>
      <c r="J39" s="85"/>
      <c r="K39" s="85"/>
      <c r="L39" s="85"/>
      <c r="M39" s="85"/>
      <c r="N39" s="85"/>
      <c r="O39" s="85"/>
      <c r="P39" s="85"/>
      <c r="Q39" s="85"/>
      <c r="R39" s="85"/>
      <c r="S39" s="85"/>
      <c r="T39" s="85"/>
      <c r="U39" s="85"/>
      <c r="V39" s="85"/>
      <c r="W39" s="85"/>
      <c r="X39" s="85"/>
      <c r="Y39" s="94"/>
      <c r="Z39" s="94"/>
      <c r="AA39" s="40"/>
    </row>
    <row r="40" spans="1:27">
      <c r="A40" s="127"/>
      <c r="B40" s="70"/>
      <c r="C40" s="70"/>
      <c r="D40" s="3"/>
      <c r="E40" s="3"/>
      <c r="F40" s="85"/>
      <c r="G40" s="3"/>
      <c r="H40" s="3"/>
      <c r="I40" s="85"/>
      <c r="J40" s="85"/>
      <c r="K40" s="85"/>
      <c r="L40" s="85"/>
      <c r="M40" s="85"/>
      <c r="N40" s="85"/>
      <c r="O40" s="85"/>
      <c r="P40" s="85"/>
      <c r="Q40" s="85"/>
      <c r="R40" s="85"/>
      <c r="S40" s="85"/>
      <c r="T40" s="85"/>
      <c r="U40" s="85"/>
      <c r="V40" s="85"/>
      <c r="W40" s="85"/>
      <c r="X40" s="85"/>
      <c r="Y40" s="94"/>
      <c r="Z40" s="94"/>
      <c r="AA40" s="40"/>
    </row>
    <row r="41" spans="1:27">
      <c r="A41" s="127"/>
      <c r="B41" s="70"/>
      <c r="C41" s="70"/>
      <c r="D41" s="3"/>
      <c r="E41" s="3"/>
      <c r="F41" s="85"/>
      <c r="G41" s="3"/>
      <c r="H41" s="3"/>
      <c r="I41" s="85"/>
      <c r="J41" s="85"/>
      <c r="K41" s="85"/>
      <c r="L41" s="85"/>
      <c r="M41" s="85"/>
      <c r="N41" s="85"/>
      <c r="O41" s="85"/>
      <c r="P41" s="85"/>
      <c r="Q41" s="85"/>
      <c r="R41" s="85"/>
      <c r="S41" s="85"/>
      <c r="T41" s="85"/>
      <c r="U41" s="85"/>
      <c r="V41" s="85"/>
      <c r="W41" s="85"/>
      <c r="X41" s="85"/>
      <c r="Y41" s="94"/>
      <c r="Z41" s="94"/>
      <c r="AA41" s="40"/>
    </row>
    <row r="42" spans="1:27">
      <c r="A42" s="127"/>
      <c r="B42" s="70"/>
      <c r="C42" s="70"/>
      <c r="D42" s="3"/>
      <c r="E42" s="3"/>
      <c r="F42" s="85"/>
      <c r="G42" s="3"/>
      <c r="H42" s="3"/>
      <c r="I42" s="85"/>
      <c r="J42" s="85"/>
      <c r="K42" s="85"/>
      <c r="L42" s="85"/>
      <c r="M42" s="85"/>
      <c r="N42" s="85"/>
      <c r="O42" s="85"/>
      <c r="P42" s="85"/>
      <c r="Q42" s="85"/>
      <c r="R42" s="85"/>
      <c r="S42" s="85"/>
      <c r="T42" s="85"/>
      <c r="U42" s="85"/>
      <c r="V42" s="85"/>
      <c r="W42" s="85"/>
      <c r="X42" s="85"/>
      <c r="Y42" s="94"/>
      <c r="Z42" s="94"/>
      <c r="AA42" s="40"/>
    </row>
    <row r="43" spans="1:27">
      <c r="A43" s="127"/>
      <c r="B43" s="70"/>
      <c r="C43" s="70"/>
      <c r="D43" s="3"/>
      <c r="E43" s="3"/>
      <c r="F43" s="85"/>
      <c r="G43" s="3"/>
      <c r="H43" s="3"/>
      <c r="I43" s="85"/>
      <c r="J43" s="85"/>
      <c r="K43" s="85"/>
      <c r="L43" s="85"/>
      <c r="M43" s="85"/>
      <c r="N43" s="85"/>
      <c r="O43" s="85"/>
      <c r="P43" s="85"/>
      <c r="Q43" s="85"/>
      <c r="R43" s="85"/>
      <c r="S43" s="85"/>
      <c r="T43" s="85"/>
      <c r="U43" s="85"/>
      <c r="V43" s="85"/>
      <c r="W43" s="85"/>
      <c r="X43" s="85"/>
      <c r="Y43" s="94"/>
      <c r="Z43" s="94"/>
      <c r="AA43" s="40"/>
    </row>
    <row r="44" spans="1:27">
      <c r="A44" s="127"/>
      <c r="B44" s="70"/>
      <c r="C44" s="70"/>
      <c r="D44" s="3"/>
      <c r="E44" s="3"/>
      <c r="F44" s="85"/>
      <c r="G44" s="3"/>
      <c r="H44" s="3"/>
      <c r="I44" s="85"/>
      <c r="J44" s="85"/>
      <c r="K44" s="85"/>
      <c r="L44" s="85"/>
      <c r="M44" s="85"/>
      <c r="N44" s="85"/>
      <c r="O44" s="85"/>
      <c r="P44" s="85"/>
      <c r="Q44" s="85"/>
      <c r="R44" s="85"/>
      <c r="S44" s="85"/>
      <c r="T44" s="85"/>
      <c r="U44" s="85"/>
      <c r="V44" s="85"/>
      <c r="W44" s="85"/>
      <c r="X44" s="85"/>
      <c r="Y44" s="94"/>
      <c r="Z44" s="94"/>
      <c r="AA44" s="40"/>
    </row>
    <row r="45" spans="1:27">
      <c r="A45" s="127"/>
      <c r="B45" s="70"/>
      <c r="C45" s="70"/>
      <c r="D45" s="3"/>
      <c r="E45" s="3"/>
      <c r="F45" s="85"/>
      <c r="G45" s="3"/>
      <c r="H45" s="3"/>
      <c r="I45" s="85"/>
      <c r="J45" s="85"/>
      <c r="K45" s="85"/>
      <c r="L45" s="85"/>
      <c r="M45" s="85"/>
      <c r="N45" s="85"/>
      <c r="O45" s="85"/>
      <c r="P45" s="85"/>
      <c r="Q45" s="85"/>
      <c r="R45" s="85"/>
      <c r="S45" s="85"/>
      <c r="T45" s="85"/>
      <c r="U45" s="85"/>
      <c r="V45" s="85"/>
      <c r="W45" s="85"/>
      <c r="X45" s="85"/>
      <c r="Y45" s="94"/>
      <c r="Z45" s="94"/>
      <c r="AA45" s="40"/>
    </row>
    <row r="46" spans="1:27">
      <c r="A46" s="127"/>
      <c r="B46" s="70"/>
      <c r="C46" s="70"/>
      <c r="D46" s="3"/>
      <c r="E46" s="3"/>
      <c r="F46" s="85"/>
      <c r="G46" s="3"/>
      <c r="H46" s="3"/>
      <c r="I46" s="85"/>
      <c r="J46" s="85"/>
      <c r="K46" s="85"/>
      <c r="L46" s="85"/>
      <c r="M46" s="85"/>
      <c r="N46" s="85"/>
      <c r="O46" s="85"/>
      <c r="P46" s="85"/>
      <c r="Q46" s="85"/>
      <c r="R46" s="85"/>
      <c r="S46" s="85"/>
      <c r="T46" s="85"/>
      <c r="U46" s="85"/>
      <c r="V46" s="85"/>
      <c r="W46" s="85"/>
      <c r="X46" s="85"/>
      <c r="Y46" s="94"/>
      <c r="Z46" s="94"/>
      <c r="AA46" s="40"/>
    </row>
    <row r="47" spans="1:27">
      <c r="A47" s="127"/>
      <c r="B47" s="70"/>
      <c r="C47" s="70"/>
      <c r="D47" s="3"/>
      <c r="E47" s="3"/>
      <c r="F47" s="85"/>
      <c r="G47" s="3"/>
      <c r="H47" s="3"/>
      <c r="I47" s="85"/>
      <c r="J47" s="85"/>
      <c r="K47" s="85"/>
      <c r="L47" s="85"/>
      <c r="M47" s="85"/>
      <c r="N47" s="85"/>
      <c r="O47" s="85"/>
      <c r="P47" s="85"/>
      <c r="Q47" s="85"/>
      <c r="R47" s="85"/>
      <c r="S47" s="85"/>
      <c r="T47" s="85"/>
      <c r="U47" s="85"/>
      <c r="V47" s="85"/>
      <c r="W47" s="85"/>
      <c r="X47" s="85"/>
      <c r="Y47" s="94"/>
      <c r="Z47" s="94"/>
      <c r="AA47" s="40"/>
    </row>
    <row r="48" spans="1:27">
      <c r="A48" s="127"/>
      <c r="B48" s="70"/>
      <c r="C48" s="70"/>
      <c r="D48" s="3"/>
      <c r="E48" s="3"/>
      <c r="F48" s="85"/>
      <c r="G48" s="3"/>
      <c r="H48" s="3"/>
      <c r="I48" s="85"/>
      <c r="J48" s="85"/>
      <c r="K48" s="85"/>
      <c r="L48" s="85"/>
      <c r="M48" s="85"/>
      <c r="N48" s="85"/>
      <c r="O48" s="85"/>
      <c r="P48" s="85"/>
      <c r="Q48" s="85"/>
      <c r="R48" s="85"/>
      <c r="S48" s="85"/>
      <c r="T48" s="85"/>
      <c r="U48" s="85"/>
      <c r="V48" s="85"/>
      <c r="W48" s="85"/>
      <c r="X48" s="85"/>
      <c r="Y48" s="94"/>
      <c r="Z48" s="94"/>
      <c r="AA48" s="4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I14"/>
  <sheetViews>
    <sheetView showGridLines="0" workbookViewId="0">
      <selection activeCell="A11" sqref="A11"/>
    </sheetView>
  </sheetViews>
  <sheetFormatPr baseColWidth="10" defaultColWidth="26.7109375" defaultRowHeight="10.199999999999999" outlineLevelRow="1" outlineLevelCol="1"/>
  <cols>
    <col min="1" max="4" width="26.7109375" style="84" customWidth="1"/>
    <col min="5" max="5" width="26.7109375" style="84" customWidth="1" collapsed="1"/>
    <col min="6" max="7" width="26.7109375" style="84" hidden="1" customWidth="1" outlineLevel="1"/>
    <col min="8" max="16384" width="26.7109375" style="84"/>
  </cols>
  <sheetData>
    <row r="1" spans="1:9" s="79" customFormat="1" ht="22.5" customHeight="1">
      <c r="A1" s="75" t="s">
        <v>421</v>
      </c>
      <c r="B1" s="75" t="s">
        <v>422</v>
      </c>
      <c r="C1" s="75" t="s">
        <v>423</v>
      </c>
      <c r="D1" s="75" t="s">
        <v>424</v>
      </c>
      <c r="E1" s="75" t="s">
        <v>425</v>
      </c>
      <c r="F1" s="75" t="s">
        <v>426</v>
      </c>
      <c r="G1" s="75" t="s">
        <v>427</v>
      </c>
      <c r="H1" s="74"/>
    </row>
    <row r="2" spans="1:9" s="79" customFormat="1" ht="52.5" customHeight="1">
      <c r="A2" s="57" t="s">
        <v>428</v>
      </c>
      <c r="B2" s="57" t="s">
        <v>429</v>
      </c>
      <c r="C2" s="57" t="s">
        <v>430</v>
      </c>
      <c r="D2" s="57" t="s">
        <v>431</v>
      </c>
      <c r="E2" s="57" t="s">
        <v>432</v>
      </c>
      <c r="F2" s="57"/>
      <c r="G2" s="57"/>
      <c r="H2" s="74"/>
    </row>
    <row r="3" spans="1:9" s="79" customFormat="1" ht="52.5" customHeight="1">
      <c r="A3" s="57"/>
      <c r="B3" s="57" t="s">
        <v>433</v>
      </c>
      <c r="C3" s="57" t="s">
        <v>434</v>
      </c>
      <c r="D3" s="57"/>
      <c r="E3" s="57"/>
      <c r="F3" s="57"/>
      <c r="G3" s="57"/>
      <c r="H3" s="74"/>
    </row>
    <row r="4" spans="1:9" s="79" customFormat="1">
      <c r="A4" s="57"/>
      <c r="B4" s="57" t="s">
        <v>47</v>
      </c>
      <c r="C4" s="57"/>
      <c r="D4" s="57"/>
      <c r="E4" s="57"/>
      <c r="F4" s="57"/>
      <c r="G4" s="57"/>
      <c r="H4" s="74"/>
    </row>
    <row r="5" spans="1:9" s="80" customFormat="1">
      <c r="A5" s="60"/>
      <c r="B5" s="60"/>
      <c r="C5" s="60"/>
      <c r="D5" s="60"/>
      <c r="E5" s="61"/>
      <c r="F5" s="61"/>
      <c r="G5" s="61"/>
      <c r="H5" s="74"/>
    </row>
    <row r="6" spans="1:9" s="81" customFormat="1" collapsed="1">
      <c r="A6" s="63" t="s">
        <v>95</v>
      </c>
      <c r="B6" s="63" t="s">
        <v>98</v>
      </c>
      <c r="C6" s="63" t="s">
        <v>98</v>
      </c>
      <c r="D6" s="63" t="s">
        <v>95</v>
      </c>
      <c r="E6" s="63" t="s">
        <v>97</v>
      </c>
      <c r="F6" s="63"/>
      <c r="G6" s="63"/>
      <c r="H6" s="74"/>
    </row>
    <row r="7" spans="1:9" s="81" customFormat="1" hidden="1" outlineLevel="1">
      <c r="A7" s="66"/>
      <c r="B7" s="66"/>
      <c r="C7" s="66"/>
      <c r="D7" s="66"/>
      <c r="E7" s="67"/>
      <c r="F7" s="67"/>
      <c r="G7" s="67"/>
      <c r="H7" s="74"/>
    </row>
    <row r="8" spans="1:9" s="81" customFormat="1" hidden="1" outlineLevel="1">
      <c r="A8" s="68"/>
      <c r="B8" s="68"/>
      <c r="C8" s="68"/>
      <c r="D8" s="68"/>
      <c r="E8" s="67"/>
      <c r="F8" s="67"/>
      <c r="G8" s="67"/>
      <c r="H8" s="74"/>
    </row>
    <row r="9" spans="1:9" s="81" customFormat="1" hidden="1" outlineLevel="1">
      <c r="A9" s="68"/>
      <c r="B9" s="68"/>
      <c r="C9" s="68"/>
      <c r="D9" s="68"/>
      <c r="E9" s="67"/>
      <c r="F9" s="67"/>
      <c r="G9" s="67"/>
      <c r="H9" s="74"/>
    </row>
    <row r="10" spans="1:9" s="81" customFormat="1" hidden="1" outlineLevel="1">
      <c r="A10" s="68"/>
      <c r="B10" s="68"/>
      <c r="C10" s="68"/>
      <c r="D10" s="68"/>
      <c r="E10" s="67"/>
      <c r="F10" s="67"/>
      <c r="G10" s="67"/>
      <c r="H10" s="74"/>
    </row>
    <row r="11" spans="1:9" ht="28.8">
      <c r="A11" s="89" t="s">
        <v>435</v>
      </c>
      <c r="B11" s="90">
        <v>0</v>
      </c>
      <c r="C11" s="90">
        <v>1</v>
      </c>
      <c r="D11" s="90" t="s">
        <v>436</v>
      </c>
      <c r="E11" s="90" t="s">
        <v>437</v>
      </c>
      <c r="F11" s="73" t="s">
        <v>438</v>
      </c>
      <c r="G11" s="73" t="s">
        <v>439</v>
      </c>
      <c r="H11" s="91"/>
      <c r="I11" s="91"/>
    </row>
    <row r="12" spans="1:9" ht="57.6">
      <c r="A12" s="89" t="s">
        <v>440</v>
      </c>
      <c r="B12" s="90">
        <v>0.3</v>
      </c>
      <c r="C12" s="90">
        <v>1</v>
      </c>
      <c r="D12" s="90" t="s">
        <v>441</v>
      </c>
      <c r="E12" s="90" t="s">
        <v>442</v>
      </c>
      <c r="F12" s="73" t="s">
        <v>443</v>
      </c>
      <c r="G12" s="73" t="s">
        <v>444</v>
      </c>
      <c r="H12" s="91"/>
      <c r="I12" s="91"/>
    </row>
    <row r="13" spans="1:9" ht="43.2">
      <c r="A13" s="89" t="s">
        <v>445</v>
      </c>
      <c r="B13" s="90">
        <v>0.3</v>
      </c>
      <c r="C13" s="90">
        <v>0.5</v>
      </c>
      <c r="D13" s="90" t="s">
        <v>446</v>
      </c>
      <c r="E13" s="90" t="s">
        <v>447</v>
      </c>
      <c r="F13" s="73" t="s">
        <v>448</v>
      </c>
      <c r="G13" s="73" t="s">
        <v>449</v>
      </c>
      <c r="H13" s="91"/>
      <c r="I13" s="91"/>
    </row>
    <row r="14" spans="1:9" ht="28.8">
      <c r="A14" s="89" t="s">
        <v>450</v>
      </c>
      <c r="B14" s="90">
        <v>0</v>
      </c>
      <c r="C14" s="90">
        <v>0.5</v>
      </c>
      <c r="D14" s="90" t="s">
        <v>451</v>
      </c>
      <c r="E14" s="90" t="s">
        <v>452</v>
      </c>
      <c r="F14" s="73" t="s">
        <v>453</v>
      </c>
      <c r="G14" s="73" t="s">
        <v>454</v>
      </c>
      <c r="H14" s="91"/>
      <c r="I14" s="91"/>
    </row>
  </sheetData>
  <conditionalFormatting sqref="E7:G10">
    <cfRule type="cellIs" dxfId="0" priority="1" stopIfTrue="1" operator="equal">
      <formula>#REF!</formula>
    </cfRule>
  </conditionalFormatting>
  <printOptions horizontalCentered="1"/>
  <pageMargins left="0.59055118110236227" right="0.59055118110236227" top="0.59055118110236227" bottom="0.59055118110236227" header="0.31496062992125984" footer="0.31496062992125984"/>
  <pageSetup paperSize="9" scale="87" orientation="portrait" horizontalDpi="1200" verticalDpi="1200" r:id="rId1"/>
  <headerFooter alignWithMargins="0">
    <oddFooter>&amp;L&amp;6[&amp;F]&amp;A &amp;R&amp;6&amp;D  &amp;T</oddFooter>
  </headerFooter>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6671-583B-44F5-9AA3-7C2CF5557076}">
  <dimension ref="B2:J18"/>
  <sheetViews>
    <sheetView showGridLines="0" workbookViewId="0">
      <selection activeCell="J12" sqref="J12"/>
    </sheetView>
  </sheetViews>
  <sheetFormatPr baseColWidth="10" defaultRowHeight="10.199999999999999"/>
  <cols>
    <col min="1" max="1" width="2.5703125" customWidth="1"/>
    <col min="2" max="2" width="3" customWidth="1"/>
  </cols>
  <sheetData>
    <row r="2" spans="2:10">
      <c r="B2" t="s">
        <v>544</v>
      </c>
      <c r="J2" s="165" t="s">
        <v>2353</v>
      </c>
    </row>
    <row r="3" spans="2:10">
      <c r="J3" s="165"/>
    </row>
    <row r="4" spans="2:10">
      <c r="C4" t="s">
        <v>2042</v>
      </c>
      <c r="J4" s="165"/>
    </row>
    <row r="5" spans="2:10">
      <c r="C5" t="s">
        <v>2043</v>
      </c>
      <c r="J5" s="165"/>
    </row>
    <row r="6" spans="2:10">
      <c r="J6" s="165"/>
    </row>
    <row r="7" spans="2:10">
      <c r="J7" s="165"/>
    </row>
    <row r="8" spans="2:10">
      <c r="J8" s="165"/>
    </row>
    <row r="9" spans="2:10">
      <c r="J9" s="165"/>
    </row>
    <row r="10" spans="2:10">
      <c r="J10" s="165"/>
    </row>
    <row r="11" spans="2:10">
      <c r="J11" s="165"/>
    </row>
    <row r="12" spans="2:10">
      <c r="C12" s="212" t="s">
        <v>2408</v>
      </c>
      <c r="D12" s="212"/>
      <c r="E12" s="212"/>
      <c r="F12" s="212"/>
      <c r="G12" s="212"/>
      <c r="H12" s="212"/>
      <c r="I12" s="212"/>
      <c r="J12" s="213">
        <v>44330</v>
      </c>
    </row>
    <row r="13" spans="2:10">
      <c r="C13" s="212" t="s">
        <v>545</v>
      </c>
      <c r="D13" s="212"/>
      <c r="E13" s="212"/>
      <c r="F13" s="212"/>
      <c r="G13" s="212"/>
      <c r="H13" s="212"/>
      <c r="I13" s="212"/>
      <c r="J13" s="213">
        <v>44302</v>
      </c>
    </row>
    <row r="14" spans="2:10">
      <c r="C14" s="212" t="s">
        <v>2404</v>
      </c>
      <c r="D14" s="212"/>
      <c r="E14" s="212"/>
      <c r="F14" s="212"/>
      <c r="G14" s="212"/>
      <c r="H14" s="212"/>
      <c r="I14" s="212"/>
      <c r="J14" s="213">
        <v>44302</v>
      </c>
    </row>
    <row r="15" spans="2:10">
      <c r="J15" s="165"/>
    </row>
    <row r="16" spans="2:10">
      <c r="J16" s="165"/>
    </row>
    <row r="17" spans="10:10">
      <c r="J17" s="165"/>
    </row>
    <row r="18" spans="10:10">
      <c r="J18" s="16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Info</vt:lpstr>
      <vt:lpstr>Calc.U.Uncertainty</vt:lpstr>
      <vt:lpstr>Calc.Charts</vt:lpstr>
      <vt:lpstr>Calc.Demo.U.Uncertainty</vt:lpstr>
      <vt:lpstr>Codes</vt:lpstr>
      <vt:lpstr>Tab.Year.Period</vt:lpstr>
      <vt:lpstr>Tab.U.Default</vt:lpstr>
      <vt:lpstr>Tab.Insulation.Default</vt:lpstr>
      <vt:lpstr>Tab.Measure.f.Default</vt:lpstr>
      <vt:lpstr>Tab.Uncertainty.Levels</vt:lpstr>
      <vt:lpstr>Tab.Const.ConstrBorder</vt:lpstr>
      <vt:lpstr>Notes.Tasks</vt:lpstr>
      <vt:lpstr>CopyRange_Chart_01</vt:lpstr>
      <vt:lpstr>Date_WorkbookVersion</vt:lpstr>
      <vt:lpstr>DateTime_Current</vt:lpstr>
      <vt:lpstr>Calc.Demo.U.Uncertainty!Druckbereich</vt:lpstr>
      <vt:lpstr>n_Row_Header</vt:lpstr>
      <vt:lpstr>n_Row_Source_Reference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dc:creator>
  <cp:lastModifiedBy>Tobias Loga</cp:lastModifiedBy>
  <cp:lastPrinted>2021-05-14T11:27:38Z</cp:lastPrinted>
  <dcterms:created xsi:type="dcterms:W3CDTF">2020-05-05T11:47:27Z</dcterms:created>
  <dcterms:modified xsi:type="dcterms:W3CDTF">2021-05-14T12:28:49Z</dcterms:modified>
</cp:coreProperties>
</file>